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960"/>
  </bookViews>
  <sheets>
    <sheet name="餐饮 排水" sheetId="2" r:id="rId1"/>
    <sheet name="餐饮 西岗区" sheetId="3" r:id="rId2"/>
    <sheet name="餐饮 甘井子" sheetId="4" r:id="rId3"/>
    <sheet name="餐饮沙河口" sheetId="5" r:id="rId4"/>
    <sheet name="餐厨中山区" sheetId="6" r:id="rId5"/>
  </sheets>
  <definedNames>
    <definedName name="_xlnm.Print_Area" localSheetId="0">'餐饮 排水'!$A$1:$W$39</definedName>
    <definedName name="_xlnm.Print_Area" localSheetId="1">'餐饮 西岗区'!$A$1:$I$38</definedName>
    <definedName name="_xlnm.Print_Area" localSheetId="2">'餐饮 甘井子'!$A$1:$AC$39</definedName>
    <definedName name="_xlnm.Print_Area" localSheetId="3">餐饮沙河口!$A$1:$K$37</definedName>
    <definedName name="_xlnm.Print_Area" localSheetId="4">餐厨中山区!$A$1:$M$38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<sst xmlns="http://schemas.openxmlformats.org/spreadsheetml/2006/main" count="300" uniqueCount="77">
  <si>
    <t xml:space="preserve">夏家河污泥厂2024年12月餐饮垃圾处理量统计表                       </t>
  </si>
  <si>
    <t xml:space="preserve">                                                               单位：吨</t>
  </si>
  <si>
    <t>日期</t>
  </si>
  <si>
    <t>甘井子区餐厨</t>
  </si>
  <si>
    <t>甘井子区厨余</t>
  </si>
  <si>
    <t>西岗区餐厨</t>
  </si>
  <si>
    <t>西岗分类B标</t>
  </si>
  <si>
    <t>西岗区B标（金洁市容环境）</t>
  </si>
  <si>
    <t>中山区餐厨</t>
  </si>
  <si>
    <t>中山区厨余</t>
  </si>
  <si>
    <t>沙河口区餐厨</t>
  </si>
  <si>
    <t>沙河口区厨余</t>
  </si>
  <si>
    <t>高新园区餐厨A标</t>
  </si>
  <si>
    <t>合计</t>
  </si>
  <si>
    <t>重量</t>
  </si>
  <si>
    <t>车数</t>
  </si>
  <si>
    <t>1日</t>
  </si>
  <si>
    <t>2日</t>
  </si>
  <si>
    <t>3日</t>
  </si>
  <si>
    <t>4日</t>
  </si>
  <si>
    <t>5日</t>
  </si>
  <si>
    <t>6日</t>
  </si>
  <si>
    <t>7日</t>
  </si>
  <si>
    <t>8日</t>
  </si>
  <si>
    <t>9日</t>
  </si>
  <si>
    <t>10日</t>
  </si>
  <si>
    <t>11日</t>
  </si>
  <si>
    <t>12日</t>
  </si>
  <si>
    <t>13日</t>
  </si>
  <si>
    <t>14日</t>
  </si>
  <si>
    <t>15日</t>
  </si>
  <si>
    <t>16日</t>
  </si>
  <si>
    <t>17日</t>
  </si>
  <si>
    <t>18日</t>
  </si>
  <si>
    <t>19日</t>
  </si>
  <si>
    <t>20日</t>
  </si>
  <si>
    <t>21日</t>
  </si>
  <si>
    <t>22日</t>
  </si>
  <si>
    <t>23日</t>
  </si>
  <si>
    <t>24日</t>
  </si>
  <si>
    <t>25日</t>
  </si>
  <si>
    <t>26日</t>
  </si>
  <si>
    <t>27日</t>
  </si>
  <si>
    <t>28日</t>
  </si>
  <si>
    <t>29日</t>
  </si>
  <si>
    <t>30日</t>
  </si>
  <si>
    <t>31日</t>
  </si>
  <si>
    <t xml:space="preserve">          负责人             审核人              制表人                 日期</t>
  </si>
  <si>
    <t>单位：吨</t>
  </si>
  <si>
    <t>西岗区A标（明悦市容环境）</t>
  </si>
  <si>
    <t>西岗区分类A标</t>
  </si>
  <si>
    <t xml:space="preserve">        负责人            审核人             制表人              日期</t>
  </si>
  <si>
    <t>甘井子01标段</t>
  </si>
  <si>
    <t>甘井子02标段</t>
  </si>
  <si>
    <t>甘井子03标段</t>
  </si>
  <si>
    <t>甘井子04标段</t>
  </si>
  <si>
    <t>甘井子05标段</t>
  </si>
  <si>
    <t>甘井子06标段</t>
  </si>
  <si>
    <t>甘井子07标段</t>
  </si>
  <si>
    <t>甘井子08标段</t>
  </si>
  <si>
    <t>甘井子09标段</t>
  </si>
  <si>
    <t>甘井子10标段</t>
  </si>
  <si>
    <t>甘井子11标段</t>
  </si>
  <si>
    <t>甘井子12标段</t>
  </si>
  <si>
    <t>甘井子13标段</t>
  </si>
  <si>
    <t xml:space="preserve"> 负责人                                       审核人                                           制表人                                         日期</t>
  </si>
  <si>
    <t>沙河口区01标段</t>
  </si>
  <si>
    <t>沙河口区02标段</t>
  </si>
  <si>
    <t>沙河口区03标段</t>
  </si>
  <si>
    <t>沙河口区04标段</t>
  </si>
  <si>
    <t xml:space="preserve">     负责人                  审核人                  制表人                  日期</t>
  </si>
  <si>
    <t>中山区01标段</t>
  </si>
  <si>
    <t>中山区02标段</t>
  </si>
  <si>
    <t>中山区03标段</t>
  </si>
  <si>
    <t>中山区04标段</t>
  </si>
  <si>
    <t>中山区05标段</t>
  </si>
  <si>
    <t xml:space="preserve">       负责人             审核人               制表人                      日期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</si>
</sst>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_ * #,##0.00_ ;_ * \-#,##0.00_ ;_ * &quot;-&quot;_ ;_ @_ "/>
    <numFmt numFmtId="178" formatCode="_ * #,##0_ ;_ * \-#,##0_ ;_ * &quot;-&quot;??_ ;_ @_ "/>
  </numFmts>
  <fonts count="35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b/>
      <sz val="14"/>
      <name val="宋体"/>
      <charset val="134"/>
    </font>
    <font>
      <b/>
      <sz val="20"/>
      <name val="宋体"/>
      <charset val="134"/>
    </font>
    <font>
      <b/>
      <sz val="11"/>
      <color indexed="9"/>
      <name val="宋体"/>
      <charset val="134"/>
    </font>
    <font>
      <b/>
      <sz val="13"/>
      <name val="宋体"/>
      <charset val="134"/>
    </font>
    <font>
      <b/>
      <sz val="12"/>
      <name val="宋体"/>
      <charset val="134"/>
    </font>
    <font>
      <sz val="11"/>
      <color indexed="9"/>
      <name val="宋体"/>
      <charset val="134"/>
    </font>
    <font>
      <b/>
      <sz val="28"/>
      <name val="宋体"/>
      <charset val="134"/>
    </font>
    <font>
      <b/>
      <sz val="16"/>
      <name val="宋体"/>
      <charset val="134"/>
    </font>
    <font>
      <b/>
      <sz val="15"/>
      <name val="宋体"/>
      <charset val="134"/>
    </font>
    <font>
      <b/>
      <sz val="18"/>
      <name val="宋体"/>
      <charset val="134"/>
    </font>
    <font>
      <sz val="12"/>
      <color indexed="10"/>
      <name val="宋体"/>
      <charset val="134"/>
    </font>
    <font>
      <sz val="14"/>
      <name val="宋体"/>
      <charset val="134"/>
    </font>
    <font>
      <b/>
      <sz val="14"/>
      <color indexed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6" borderId="8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7" borderId="11" applyNumberFormat="0" applyAlignment="0" applyProtection="0">
      <alignment vertical="center"/>
    </xf>
    <xf numFmtId="0" fontId="25" fillId="8" borderId="12" applyNumberFormat="0" applyAlignment="0" applyProtection="0">
      <alignment vertical="center"/>
    </xf>
    <xf numFmtId="0" fontId="26" fillId="8" borderId="11" applyNumberFormat="0" applyAlignment="0" applyProtection="0">
      <alignment vertical="center"/>
    </xf>
    <xf numFmtId="0" fontId="27" fillId="9" borderId="13" applyNumberFormat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</cellStyleXfs>
  <cellXfs count="90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/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/>
    <xf numFmtId="0" fontId="4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176" fontId="7" fillId="0" borderId="6" xfId="0" applyNumberFormat="1" applyFont="1" applyFill="1" applyBorder="1" applyAlignment="1">
      <alignment horizontal="center" vertical="center"/>
    </xf>
    <xf numFmtId="177" fontId="7" fillId="0" borderId="6" xfId="0" applyNumberFormat="1" applyFont="1" applyFill="1" applyBorder="1" applyAlignment="1">
      <alignment horizontal="center" vertical="center" shrinkToFit="1"/>
    </xf>
    <xf numFmtId="41" fontId="7" fillId="0" borderId="6" xfId="0" applyNumberFormat="1" applyFont="1" applyFill="1" applyBorder="1" applyAlignment="1">
      <alignment horizontal="center" vertical="center" shrinkToFit="1"/>
    </xf>
    <xf numFmtId="31" fontId="7" fillId="0" borderId="6" xfId="0" applyNumberFormat="1" applyFont="1" applyFill="1" applyBorder="1" applyAlignment="1">
      <alignment horizontal="center" vertical="center"/>
    </xf>
    <xf numFmtId="177" fontId="7" fillId="0" borderId="6" xfId="0" applyNumberFormat="1" applyFont="1" applyFill="1" applyBorder="1" applyAlignment="1">
      <alignment horizontal="center" vertical="center"/>
    </xf>
    <xf numFmtId="31" fontId="7" fillId="0" borderId="0" xfId="0" applyNumberFormat="1" applyFont="1" applyFill="1" applyBorder="1" applyAlignment="1">
      <alignment horizontal="center" vertical="center"/>
    </xf>
    <xf numFmtId="177" fontId="7" fillId="0" borderId="0" xfId="0" applyNumberFormat="1" applyFont="1" applyFill="1" applyBorder="1" applyAlignment="1">
      <alignment horizontal="center" vertical="center"/>
    </xf>
    <xf numFmtId="41" fontId="7" fillId="0" borderId="0" xfId="0" applyNumberFormat="1" applyFont="1" applyFill="1" applyBorder="1" applyAlignment="1">
      <alignment horizontal="center" vertical="center"/>
    </xf>
    <xf numFmtId="177" fontId="7" fillId="2" borderId="0" xfId="0" applyNumberFormat="1" applyFont="1" applyFill="1" applyBorder="1" applyAlignment="1">
      <alignment horizontal="center" vertical="center" shrinkToFit="1"/>
    </xf>
    <xf numFmtId="41" fontId="7" fillId="2" borderId="0" xfId="0" applyNumberFormat="1" applyFont="1" applyFill="1" applyBorder="1" applyAlignment="1">
      <alignment horizontal="center" vertical="center" shrinkToFit="1"/>
    </xf>
    <xf numFmtId="176" fontId="7" fillId="0" borderId="0" xfId="0" applyNumberFormat="1" applyFont="1" applyFill="1" applyBorder="1" applyAlignment="1"/>
    <xf numFmtId="176" fontId="7" fillId="0" borderId="0" xfId="0" applyNumberFormat="1" applyFont="1" applyFill="1" applyBorder="1" applyAlignment="1">
      <alignment horizontal="left"/>
    </xf>
    <xf numFmtId="0" fontId="7" fillId="0" borderId="0" xfId="0" applyFont="1" applyFill="1" applyBorder="1" applyAlignment="1">
      <alignment horizontal="left"/>
    </xf>
    <xf numFmtId="0" fontId="1" fillId="0" borderId="0" xfId="0" applyFont="1" applyFill="1" applyBorder="1" applyAlignment="1"/>
    <xf numFmtId="0" fontId="6" fillId="0" borderId="1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177" fontId="7" fillId="0" borderId="6" xfId="0" applyNumberFormat="1" applyFont="1" applyFill="1" applyBorder="1" applyAlignment="1">
      <alignment vertical="center"/>
    </xf>
    <xf numFmtId="177" fontId="2" fillId="0" borderId="0" xfId="0" applyNumberFormat="1" applyFont="1" applyFill="1" applyBorder="1" applyAlignment="1">
      <alignment vertical="center"/>
    </xf>
    <xf numFmtId="177" fontId="7" fillId="0" borderId="0" xfId="0" applyNumberFormat="1" applyFont="1" applyFill="1" applyBorder="1" applyAlignment="1">
      <alignment vertical="center"/>
    </xf>
    <xf numFmtId="41" fontId="7" fillId="0" borderId="0" xfId="0" applyNumberFormat="1" applyFont="1" applyFill="1" applyBorder="1" applyAlignment="1">
      <alignment vertical="center"/>
    </xf>
    <xf numFmtId="0" fontId="7" fillId="0" borderId="0" xfId="0" applyFont="1" applyFill="1" applyBorder="1" applyAlignment="1"/>
    <xf numFmtId="0" fontId="7" fillId="0" borderId="0" xfId="0" applyFont="1" applyFill="1" applyBorder="1" applyAlignment="1">
      <alignment horizontal="center"/>
    </xf>
    <xf numFmtId="41" fontId="3" fillId="0" borderId="0" xfId="0" applyNumberFormat="1" applyFont="1" applyFill="1" applyBorder="1" applyAlignment="1"/>
    <xf numFmtId="177" fontId="1" fillId="0" borderId="0" xfId="0" applyNumberFormat="1" applyFont="1" applyFill="1" applyBorder="1" applyAlignment="1"/>
    <xf numFmtId="43" fontId="1" fillId="0" borderId="0" xfId="0" applyNumberFormat="1" applyFont="1" applyFill="1" applyBorder="1" applyAlignment="1"/>
    <xf numFmtId="0" fontId="8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right" vertical="center" wrapText="1"/>
    </xf>
    <xf numFmtId="41" fontId="7" fillId="0" borderId="6" xfId="0" applyNumberFormat="1" applyFont="1" applyFill="1" applyBorder="1" applyAlignment="1">
      <alignment horizontal="center" vertical="center"/>
    </xf>
    <xf numFmtId="177" fontId="1" fillId="0" borderId="0" xfId="0" applyNumberFormat="1" applyFont="1" applyFill="1" applyBorder="1" applyAlignment="1"/>
    <xf numFmtId="41" fontId="7" fillId="0" borderId="6" xfId="0" applyNumberFormat="1" applyFont="1" applyFill="1" applyBorder="1" applyAlignment="1">
      <alignment vertical="center"/>
    </xf>
    <xf numFmtId="177" fontId="3" fillId="0" borderId="0" xfId="0" applyNumberFormat="1" applyFont="1" applyFill="1" applyBorder="1" applyAlignment="1"/>
    <xf numFmtId="0" fontId="9" fillId="0" borderId="0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right" vertical="center" wrapText="1"/>
    </xf>
    <xf numFmtId="0" fontId="11" fillId="0" borderId="2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176" fontId="10" fillId="0" borderId="6" xfId="0" applyNumberFormat="1" applyFont="1" applyFill="1" applyBorder="1" applyAlignment="1">
      <alignment horizontal="center" vertical="center"/>
    </xf>
    <xf numFmtId="31" fontId="10" fillId="0" borderId="6" xfId="0" applyNumberFormat="1" applyFont="1" applyFill="1" applyBorder="1" applyAlignment="1">
      <alignment horizontal="center" vertical="center"/>
    </xf>
    <xf numFmtId="31" fontId="10" fillId="0" borderId="0" xfId="0" applyNumberFormat="1" applyFont="1" applyFill="1" applyBorder="1" applyAlignment="1">
      <alignment horizontal="center" vertical="center"/>
    </xf>
    <xf numFmtId="177" fontId="6" fillId="0" borderId="0" xfId="0" applyNumberFormat="1" applyFont="1" applyFill="1" applyBorder="1" applyAlignment="1">
      <alignment horizontal="center" vertical="center"/>
    </xf>
    <xf numFmtId="41" fontId="6" fillId="0" borderId="0" xfId="0" applyNumberFormat="1" applyFont="1" applyFill="1" applyBorder="1" applyAlignment="1">
      <alignment horizontal="center" vertical="center"/>
    </xf>
    <xf numFmtId="177" fontId="6" fillId="2" borderId="0" xfId="0" applyNumberFormat="1" applyFont="1" applyFill="1" applyBorder="1" applyAlignment="1">
      <alignment horizontal="center" vertical="center" shrinkToFit="1"/>
    </xf>
    <xf numFmtId="41" fontId="6" fillId="2" borderId="0" xfId="0" applyNumberFormat="1" applyFont="1" applyFill="1" applyBorder="1" applyAlignment="1">
      <alignment horizontal="center" vertical="center" shrinkToFit="1"/>
    </xf>
    <xf numFmtId="176" fontId="10" fillId="0" borderId="0" xfId="0" applyNumberFormat="1" applyFont="1" applyFill="1" applyBorder="1" applyAlignment="1"/>
    <xf numFmtId="176" fontId="12" fillId="0" borderId="0" xfId="0" applyNumberFormat="1" applyFont="1" applyFill="1" applyBorder="1" applyAlignment="1"/>
    <xf numFmtId="176" fontId="3" fillId="0" borderId="0" xfId="0" applyNumberFormat="1" applyFont="1" applyFill="1" applyBorder="1" applyAlignment="1">
      <alignment horizontal="left"/>
    </xf>
    <xf numFmtId="43" fontId="1" fillId="0" borderId="0" xfId="0" applyNumberFormat="1" applyFont="1" applyFill="1" applyBorder="1" applyAlignment="1"/>
    <xf numFmtId="31" fontId="3" fillId="0" borderId="0" xfId="0" applyNumberFormat="1" applyFont="1" applyFill="1" applyBorder="1" applyAlignment="1">
      <alignment horizontal="center"/>
    </xf>
    <xf numFmtId="0" fontId="11" fillId="0" borderId="3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177" fontId="6" fillId="0" borderId="0" xfId="0" applyNumberFormat="1" applyFont="1" applyFill="1" applyBorder="1" applyAlignment="1">
      <alignment vertical="center"/>
    </xf>
    <xf numFmtId="41" fontId="6" fillId="0" borderId="0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horizontal="center"/>
    </xf>
    <xf numFmtId="43" fontId="1" fillId="3" borderId="0" xfId="0" applyNumberFormat="1" applyFont="1" applyFill="1" applyBorder="1" applyAlignment="1"/>
    <xf numFmtId="178" fontId="1" fillId="3" borderId="0" xfId="0" applyNumberFormat="1" applyFont="1" applyFill="1" applyBorder="1" applyAlignment="1"/>
    <xf numFmtId="177" fontId="1" fillId="4" borderId="0" xfId="0" applyNumberFormat="1" applyFont="1" applyFill="1" applyBorder="1" applyAlignment="1"/>
    <xf numFmtId="41" fontId="1" fillId="4" borderId="0" xfId="0" applyNumberFormat="1" applyFont="1" applyFill="1" applyBorder="1" applyAlignment="1"/>
    <xf numFmtId="177" fontId="13" fillId="0" borderId="0" xfId="0" applyNumberFormat="1" applyFont="1" applyFill="1" applyBorder="1" applyAlignment="1"/>
    <xf numFmtId="41" fontId="13" fillId="0" borderId="0" xfId="0" applyNumberFormat="1" applyFont="1" applyFill="1" applyBorder="1" applyAlignment="1"/>
    <xf numFmtId="43" fontId="1" fillId="5" borderId="0" xfId="0" applyNumberFormat="1" applyFont="1" applyFill="1" applyBorder="1" applyAlignment="1"/>
    <xf numFmtId="178" fontId="1" fillId="5" borderId="0" xfId="0" applyNumberFormat="1" applyFont="1" applyFill="1" applyBorder="1" applyAlignment="1"/>
    <xf numFmtId="177" fontId="10" fillId="0" borderId="6" xfId="0" applyNumberFormat="1" applyFont="1" applyFill="1" applyBorder="1" applyAlignment="1">
      <alignment horizontal="center" vertical="center" shrinkToFit="1"/>
    </xf>
    <xf numFmtId="41" fontId="10" fillId="0" borderId="6" xfId="0" applyNumberFormat="1" applyFont="1" applyFill="1" applyBorder="1" applyAlignment="1">
      <alignment horizontal="center" vertical="center" shrinkToFit="1"/>
    </xf>
    <xf numFmtId="177" fontId="10" fillId="0" borderId="6" xfId="0" applyNumberFormat="1" applyFont="1" applyFill="1" applyBorder="1" applyAlignment="1">
      <alignment vertical="center"/>
    </xf>
    <xf numFmtId="177" fontId="6" fillId="2" borderId="6" xfId="0" applyNumberFormat="1" applyFont="1" applyFill="1" applyBorder="1" applyAlignment="1">
      <alignment horizontal="center" vertical="center" shrinkToFit="1"/>
    </xf>
    <xf numFmtId="41" fontId="10" fillId="0" borderId="6" xfId="0" applyNumberFormat="1" applyFont="1" applyFill="1" applyBorder="1" applyAlignment="1">
      <alignment vertical="center"/>
    </xf>
    <xf numFmtId="0" fontId="14" fillId="0" borderId="0" xfId="0" applyFont="1" applyFill="1" applyBorder="1" applyAlignment="1">
      <alignment vertical="center"/>
    </xf>
    <xf numFmtId="0" fontId="11" fillId="0" borderId="7" xfId="0" applyFont="1" applyFill="1" applyBorder="1" applyAlignment="1">
      <alignment horizontal="center" vertical="center" wrapText="1"/>
    </xf>
    <xf numFmtId="43" fontId="10" fillId="0" borderId="6" xfId="0" applyNumberFormat="1" applyFont="1" applyFill="1" applyBorder="1" applyAlignment="1">
      <alignment horizontal="center" vertical="center" shrinkToFit="1"/>
    </xf>
    <xf numFmtId="0" fontId="10" fillId="0" borderId="0" xfId="0" applyFont="1" applyFill="1" applyBorder="1" applyAlignment="1">
      <alignment horizontal="left" vertical="center"/>
    </xf>
    <xf numFmtId="41" fontId="3" fillId="0" borderId="0" xfId="0" applyNumberFormat="1" applyFont="1" applyFill="1" applyBorder="1" applyAlignment="1">
      <alignment vertical="center"/>
    </xf>
    <xf numFmtId="41" fontId="3" fillId="0" borderId="0" xfId="0" applyNumberFormat="1" applyFont="1" applyFill="1" applyBorder="1" applyAlignment="1"/>
    <xf numFmtId="0" fontId="11" fillId="0" borderId="7" xfId="0" applyFont="1" applyFill="1" applyBorder="1" applyAlignment="1">
      <alignment horizontal="center" vertical="center"/>
    </xf>
    <xf numFmtId="177" fontId="15" fillId="0" borderId="0" xfId="0" applyNumberFormat="1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23</xdr:col>
      <xdr:colOff>0</xdr:colOff>
      <xdr:row>2</xdr:row>
      <xdr:rowOff>0</xdr:rowOff>
    </xdr:from>
    <xdr:to>
      <xdr:col>23</xdr:col>
      <xdr:colOff>0</xdr:colOff>
      <xdr:row>2</xdr:row>
      <xdr:rowOff>0</xdr:rowOff>
    </xdr:to>
    <xdr:sp>
      <xdr:nvSpPr>
        <xdr:cNvPr id="2" name="Line 1"/>
        <xdr:cNvSpPr/>
      </xdr:nvSpPr>
      <xdr:spPr>
        <a:xfrm>
          <a:off x="17430750" y="742950"/>
          <a:ext cx="0" cy="0"/>
        </a:xfrm>
        <a:prstGeom prst="line">
          <a:avLst/>
        </a:prstGeom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23</xdr:col>
      <xdr:colOff>0</xdr:colOff>
      <xdr:row>2</xdr:row>
      <xdr:rowOff>0</xdr:rowOff>
    </xdr:from>
    <xdr:to>
      <xdr:col>23</xdr:col>
      <xdr:colOff>0</xdr:colOff>
      <xdr:row>2</xdr:row>
      <xdr:rowOff>0</xdr:rowOff>
    </xdr:to>
    <xdr:sp>
      <xdr:nvSpPr>
        <xdr:cNvPr id="3" name="Line 2"/>
        <xdr:cNvSpPr/>
      </xdr:nvSpPr>
      <xdr:spPr>
        <a:xfrm>
          <a:off x="17430750" y="742950"/>
          <a:ext cx="0" cy="0"/>
        </a:xfrm>
        <a:prstGeom prst="line">
          <a:avLst/>
        </a:prstGeom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23</xdr:col>
      <xdr:colOff>0</xdr:colOff>
      <xdr:row>2</xdr:row>
      <xdr:rowOff>0</xdr:rowOff>
    </xdr:from>
    <xdr:to>
      <xdr:col>23</xdr:col>
      <xdr:colOff>0</xdr:colOff>
      <xdr:row>2</xdr:row>
      <xdr:rowOff>10160</xdr:rowOff>
    </xdr:to>
    <xdr:sp>
      <xdr:nvSpPr>
        <xdr:cNvPr id="4" name="Line 3"/>
        <xdr:cNvSpPr/>
      </xdr:nvSpPr>
      <xdr:spPr>
        <a:xfrm>
          <a:off x="17430750" y="742950"/>
          <a:ext cx="0" cy="10160"/>
        </a:xfrm>
        <a:prstGeom prst="line">
          <a:avLst/>
        </a:prstGeom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23</xdr:col>
      <xdr:colOff>0</xdr:colOff>
      <xdr:row>2</xdr:row>
      <xdr:rowOff>0</xdr:rowOff>
    </xdr:from>
    <xdr:to>
      <xdr:col>23</xdr:col>
      <xdr:colOff>0</xdr:colOff>
      <xdr:row>2</xdr:row>
      <xdr:rowOff>10160</xdr:rowOff>
    </xdr:to>
    <xdr:sp>
      <xdr:nvSpPr>
        <xdr:cNvPr id="5" name="Line 4"/>
        <xdr:cNvSpPr/>
      </xdr:nvSpPr>
      <xdr:spPr>
        <a:xfrm>
          <a:off x="17430750" y="742950"/>
          <a:ext cx="0" cy="10160"/>
        </a:xfrm>
        <a:prstGeom prst="line">
          <a:avLst/>
        </a:prstGeom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9</xdr:col>
      <xdr:colOff>0</xdr:colOff>
      <xdr:row>2</xdr:row>
      <xdr:rowOff>0</xdr:rowOff>
    </xdr:from>
    <xdr:to>
      <xdr:col>9</xdr:col>
      <xdr:colOff>0</xdr:colOff>
      <xdr:row>2</xdr:row>
      <xdr:rowOff>0</xdr:rowOff>
    </xdr:to>
    <xdr:sp>
      <xdr:nvSpPr>
        <xdr:cNvPr id="2" name="Line 1"/>
        <xdr:cNvSpPr/>
      </xdr:nvSpPr>
      <xdr:spPr>
        <a:xfrm>
          <a:off x="8372475" y="742950"/>
          <a:ext cx="0" cy="0"/>
        </a:xfrm>
        <a:prstGeom prst="line">
          <a:avLst/>
        </a:prstGeom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9</xdr:col>
      <xdr:colOff>0</xdr:colOff>
      <xdr:row>2</xdr:row>
      <xdr:rowOff>0</xdr:rowOff>
    </xdr:from>
    <xdr:to>
      <xdr:col>9</xdr:col>
      <xdr:colOff>0</xdr:colOff>
      <xdr:row>2</xdr:row>
      <xdr:rowOff>0</xdr:rowOff>
    </xdr:to>
    <xdr:sp>
      <xdr:nvSpPr>
        <xdr:cNvPr id="3" name="Line 2"/>
        <xdr:cNvSpPr/>
      </xdr:nvSpPr>
      <xdr:spPr>
        <a:xfrm>
          <a:off x="8372475" y="742950"/>
          <a:ext cx="0" cy="0"/>
        </a:xfrm>
        <a:prstGeom prst="line">
          <a:avLst/>
        </a:prstGeom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9</xdr:col>
      <xdr:colOff>0</xdr:colOff>
      <xdr:row>2</xdr:row>
      <xdr:rowOff>0</xdr:rowOff>
    </xdr:from>
    <xdr:to>
      <xdr:col>9</xdr:col>
      <xdr:colOff>0</xdr:colOff>
      <xdr:row>2</xdr:row>
      <xdr:rowOff>10160</xdr:rowOff>
    </xdr:to>
    <xdr:sp>
      <xdr:nvSpPr>
        <xdr:cNvPr id="4" name="Line 3"/>
        <xdr:cNvSpPr/>
      </xdr:nvSpPr>
      <xdr:spPr>
        <a:xfrm>
          <a:off x="8372475" y="742950"/>
          <a:ext cx="0" cy="10160"/>
        </a:xfrm>
        <a:prstGeom prst="line">
          <a:avLst/>
        </a:prstGeom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9</xdr:col>
      <xdr:colOff>0</xdr:colOff>
      <xdr:row>2</xdr:row>
      <xdr:rowOff>0</xdr:rowOff>
    </xdr:from>
    <xdr:to>
      <xdr:col>9</xdr:col>
      <xdr:colOff>0</xdr:colOff>
      <xdr:row>2</xdr:row>
      <xdr:rowOff>10160</xdr:rowOff>
    </xdr:to>
    <xdr:sp>
      <xdr:nvSpPr>
        <xdr:cNvPr id="5" name="Line 4"/>
        <xdr:cNvSpPr/>
      </xdr:nvSpPr>
      <xdr:spPr>
        <a:xfrm>
          <a:off x="8372475" y="742950"/>
          <a:ext cx="0" cy="10160"/>
        </a:xfrm>
        <a:prstGeom prst="line">
          <a:avLst/>
        </a:prstGeom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29</xdr:col>
      <xdr:colOff>0</xdr:colOff>
      <xdr:row>2</xdr:row>
      <xdr:rowOff>0</xdr:rowOff>
    </xdr:from>
    <xdr:to>
      <xdr:col>29</xdr:col>
      <xdr:colOff>0</xdr:colOff>
      <xdr:row>2</xdr:row>
      <xdr:rowOff>0</xdr:rowOff>
    </xdr:to>
    <xdr:sp>
      <xdr:nvSpPr>
        <xdr:cNvPr id="2" name="Line 1"/>
        <xdr:cNvSpPr/>
      </xdr:nvSpPr>
      <xdr:spPr>
        <a:xfrm>
          <a:off x="18192750" y="742950"/>
          <a:ext cx="0" cy="0"/>
        </a:xfrm>
        <a:prstGeom prst="line">
          <a:avLst/>
        </a:prstGeom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29</xdr:col>
      <xdr:colOff>0</xdr:colOff>
      <xdr:row>2</xdr:row>
      <xdr:rowOff>0</xdr:rowOff>
    </xdr:from>
    <xdr:to>
      <xdr:col>29</xdr:col>
      <xdr:colOff>0</xdr:colOff>
      <xdr:row>2</xdr:row>
      <xdr:rowOff>0</xdr:rowOff>
    </xdr:to>
    <xdr:sp>
      <xdr:nvSpPr>
        <xdr:cNvPr id="3" name="Line 2"/>
        <xdr:cNvSpPr/>
      </xdr:nvSpPr>
      <xdr:spPr>
        <a:xfrm>
          <a:off x="18192750" y="742950"/>
          <a:ext cx="0" cy="0"/>
        </a:xfrm>
        <a:prstGeom prst="line">
          <a:avLst/>
        </a:prstGeom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29</xdr:col>
      <xdr:colOff>0</xdr:colOff>
      <xdr:row>2</xdr:row>
      <xdr:rowOff>0</xdr:rowOff>
    </xdr:from>
    <xdr:to>
      <xdr:col>29</xdr:col>
      <xdr:colOff>0</xdr:colOff>
      <xdr:row>2</xdr:row>
      <xdr:rowOff>9525</xdr:rowOff>
    </xdr:to>
    <xdr:sp>
      <xdr:nvSpPr>
        <xdr:cNvPr id="4" name="Line 3"/>
        <xdr:cNvSpPr/>
      </xdr:nvSpPr>
      <xdr:spPr>
        <a:xfrm>
          <a:off x="18192750" y="742950"/>
          <a:ext cx="0" cy="9525"/>
        </a:xfrm>
        <a:prstGeom prst="line">
          <a:avLst/>
        </a:prstGeom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29</xdr:col>
      <xdr:colOff>0</xdr:colOff>
      <xdr:row>2</xdr:row>
      <xdr:rowOff>0</xdr:rowOff>
    </xdr:from>
    <xdr:to>
      <xdr:col>29</xdr:col>
      <xdr:colOff>0</xdr:colOff>
      <xdr:row>2</xdr:row>
      <xdr:rowOff>9525</xdr:rowOff>
    </xdr:to>
    <xdr:sp>
      <xdr:nvSpPr>
        <xdr:cNvPr id="5" name="Line 4"/>
        <xdr:cNvSpPr/>
      </xdr:nvSpPr>
      <xdr:spPr>
        <a:xfrm>
          <a:off x="18192750" y="742950"/>
          <a:ext cx="0" cy="9525"/>
        </a:xfrm>
        <a:prstGeom prst="line">
          <a:avLst/>
        </a:prstGeom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11</xdr:col>
      <xdr:colOff>0</xdr:colOff>
      <xdr:row>2</xdr:row>
      <xdr:rowOff>0</xdr:rowOff>
    </xdr:from>
    <xdr:to>
      <xdr:col>11</xdr:col>
      <xdr:colOff>0</xdr:colOff>
      <xdr:row>2</xdr:row>
      <xdr:rowOff>0</xdr:rowOff>
    </xdr:to>
    <xdr:sp>
      <xdr:nvSpPr>
        <xdr:cNvPr id="2" name="Line 1"/>
        <xdr:cNvSpPr/>
      </xdr:nvSpPr>
      <xdr:spPr>
        <a:xfrm>
          <a:off x="7381875" y="828675"/>
          <a:ext cx="0" cy="0"/>
        </a:xfrm>
        <a:prstGeom prst="line">
          <a:avLst/>
        </a:prstGeom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11</xdr:col>
      <xdr:colOff>0</xdr:colOff>
      <xdr:row>2</xdr:row>
      <xdr:rowOff>0</xdr:rowOff>
    </xdr:from>
    <xdr:to>
      <xdr:col>11</xdr:col>
      <xdr:colOff>0</xdr:colOff>
      <xdr:row>2</xdr:row>
      <xdr:rowOff>0</xdr:rowOff>
    </xdr:to>
    <xdr:sp>
      <xdr:nvSpPr>
        <xdr:cNvPr id="3" name="Line 2"/>
        <xdr:cNvSpPr/>
      </xdr:nvSpPr>
      <xdr:spPr>
        <a:xfrm>
          <a:off x="7381875" y="828675"/>
          <a:ext cx="0" cy="0"/>
        </a:xfrm>
        <a:prstGeom prst="line">
          <a:avLst/>
        </a:prstGeom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11</xdr:col>
      <xdr:colOff>0</xdr:colOff>
      <xdr:row>2</xdr:row>
      <xdr:rowOff>0</xdr:rowOff>
    </xdr:from>
    <xdr:to>
      <xdr:col>11</xdr:col>
      <xdr:colOff>0</xdr:colOff>
      <xdr:row>2</xdr:row>
      <xdr:rowOff>9525</xdr:rowOff>
    </xdr:to>
    <xdr:sp>
      <xdr:nvSpPr>
        <xdr:cNvPr id="4" name="Line 3"/>
        <xdr:cNvSpPr/>
      </xdr:nvSpPr>
      <xdr:spPr>
        <a:xfrm>
          <a:off x="7381875" y="828675"/>
          <a:ext cx="0" cy="9525"/>
        </a:xfrm>
        <a:prstGeom prst="line">
          <a:avLst/>
        </a:prstGeom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11</xdr:col>
      <xdr:colOff>0</xdr:colOff>
      <xdr:row>2</xdr:row>
      <xdr:rowOff>0</xdr:rowOff>
    </xdr:from>
    <xdr:to>
      <xdr:col>11</xdr:col>
      <xdr:colOff>0</xdr:colOff>
      <xdr:row>2</xdr:row>
      <xdr:rowOff>9525</xdr:rowOff>
    </xdr:to>
    <xdr:sp>
      <xdr:nvSpPr>
        <xdr:cNvPr id="5" name="Line 4"/>
        <xdr:cNvSpPr/>
      </xdr:nvSpPr>
      <xdr:spPr>
        <a:xfrm>
          <a:off x="7381875" y="828675"/>
          <a:ext cx="0" cy="9525"/>
        </a:xfrm>
        <a:prstGeom prst="line">
          <a:avLst/>
        </a:prstGeom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13</xdr:col>
      <xdr:colOff>0</xdr:colOff>
      <xdr:row>2</xdr:row>
      <xdr:rowOff>0</xdr:rowOff>
    </xdr:from>
    <xdr:to>
      <xdr:col>13</xdr:col>
      <xdr:colOff>0</xdr:colOff>
      <xdr:row>2</xdr:row>
      <xdr:rowOff>0</xdr:rowOff>
    </xdr:to>
    <xdr:sp>
      <xdr:nvSpPr>
        <xdr:cNvPr id="2" name="Line 1"/>
        <xdr:cNvSpPr/>
      </xdr:nvSpPr>
      <xdr:spPr>
        <a:xfrm>
          <a:off x="7896225" y="828675"/>
          <a:ext cx="0" cy="0"/>
        </a:xfrm>
        <a:prstGeom prst="line">
          <a:avLst/>
        </a:prstGeom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2</xdr:row>
      <xdr:rowOff>0</xdr:rowOff>
    </xdr:to>
    <xdr:sp>
      <xdr:nvSpPr>
        <xdr:cNvPr id="3" name="Line 2"/>
        <xdr:cNvSpPr/>
      </xdr:nvSpPr>
      <xdr:spPr>
        <a:xfrm>
          <a:off x="7896225" y="828675"/>
          <a:ext cx="0" cy="0"/>
        </a:xfrm>
        <a:prstGeom prst="line">
          <a:avLst/>
        </a:prstGeom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2</xdr:row>
      <xdr:rowOff>9525</xdr:rowOff>
    </xdr:to>
    <xdr:sp>
      <xdr:nvSpPr>
        <xdr:cNvPr id="4" name="Line 3"/>
        <xdr:cNvSpPr/>
      </xdr:nvSpPr>
      <xdr:spPr>
        <a:xfrm>
          <a:off x="7896225" y="828675"/>
          <a:ext cx="0" cy="9525"/>
        </a:xfrm>
        <a:prstGeom prst="line">
          <a:avLst/>
        </a:prstGeom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2</xdr:row>
      <xdr:rowOff>9525</xdr:rowOff>
    </xdr:to>
    <xdr:sp>
      <xdr:nvSpPr>
        <xdr:cNvPr id="5" name="Line 4"/>
        <xdr:cNvSpPr/>
      </xdr:nvSpPr>
      <xdr:spPr>
        <a:xfrm>
          <a:off x="7896225" y="828675"/>
          <a:ext cx="0" cy="9525"/>
        </a:xfrm>
        <a:prstGeom prst="line">
          <a:avLst/>
        </a:prstGeom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1"/>
  </sheetPr>
  <dimension ref="A1:AA45"/>
  <sheetViews>
    <sheetView tabSelected="1" zoomScale="55" zoomScaleNormal="55" zoomScaleSheetLayoutView="60" workbookViewId="0">
      <pane xSplit="1" ySplit="4" topLeftCell="B5" activePane="bottomRight" state="frozen"/>
      <selection/>
      <selection pane="topRight"/>
      <selection pane="bottomLeft"/>
      <selection pane="bottomRight" activeCell="P25" sqref="P25:P34"/>
    </sheetView>
  </sheetViews>
  <sheetFormatPr defaultColWidth="9" defaultRowHeight="14.25"/>
  <cols>
    <col min="1" max="1" width="5.375" style="1" customWidth="1"/>
    <col min="2" max="2" width="12.625" style="1" customWidth="1"/>
    <col min="3" max="3" width="6.5" style="1" customWidth="1"/>
    <col min="4" max="4" width="13.625" style="1" customWidth="1"/>
    <col min="5" max="5" width="8.25" style="1" customWidth="1"/>
    <col min="6" max="6" width="15.75" style="1" customWidth="1"/>
    <col min="7" max="7" width="8.75" style="1" customWidth="1"/>
    <col min="8" max="8" width="13.5" style="1" customWidth="1"/>
    <col min="9" max="9" width="7.875" style="1" customWidth="1"/>
    <col min="10" max="10" width="12.25" style="1" hidden="1" customWidth="1"/>
    <col min="11" max="11" width="5.5" style="1" hidden="1" customWidth="1"/>
    <col min="12" max="12" width="15.375" style="1" customWidth="1"/>
    <col min="13" max="13" width="8.125" style="1" customWidth="1"/>
    <col min="14" max="14" width="12.25" style="1" customWidth="1"/>
    <col min="15" max="15" width="8.375" style="1" customWidth="1"/>
    <col min="16" max="16" width="15.625" style="1" customWidth="1"/>
    <col min="17" max="17" width="7.625" style="1" customWidth="1"/>
    <col min="18" max="18" width="12.125" style="1" customWidth="1"/>
    <col min="19" max="19" width="7.5" style="1" customWidth="1"/>
    <col min="20" max="20" width="14" style="1" customWidth="1"/>
    <col min="21" max="21" width="9.125" style="1" customWidth="1"/>
    <col min="22" max="22" width="15.75" style="1" customWidth="1"/>
    <col min="23" max="23" width="10.625" style="1" customWidth="1"/>
    <col min="24" max="24" width="11.625" style="1"/>
    <col min="25" max="25" width="16.125" style="1"/>
    <col min="26" max="26" width="9" style="1"/>
    <col min="27" max="27" width="11.625" style="1"/>
    <col min="28" max="16384" width="9" style="1"/>
  </cols>
  <sheetData>
    <row r="1" s="1" customFormat="1" ht="35.25" customHeight="1" spans="1:23">
      <c r="A1" s="45" t="s">
        <v>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</row>
    <row r="2" s="2" customFormat="1" ht="23.25" customHeight="1" spans="1:23">
      <c r="A2" s="6">
        <v>1000</v>
      </c>
      <c r="B2" s="46" t="s">
        <v>1</v>
      </c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</row>
    <row r="3" s="2" customFormat="1" ht="51.75" customHeight="1" spans="1:23">
      <c r="A3" s="47" t="s">
        <v>2</v>
      </c>
      <c r="B3" s="48" t="s">
        <v>3</v>
      </c>
      <c r="C3" s="49"/>
      <c r="D3" s="83" t="s">
        <v>4</v>
      </c>
      <c r="E3" s="83"/>
      <c r="F3" s="48" t="s">
        <v>5</v>
      </c>
      <c r="G3" s="49"/>
      <c r="H3" s="83" t="s">
        <v>6</v>
      </c>
      <c r="I3" s="83"/>
      <c r="J3" s="48" t="s">
        <v>7</v>
      </c>
      <c r="K3" s="49"/>
      <c r="L3" s="48" t="s">
        <v>8</v>
      </c>
      <c r="M3" s="49"/>
      <c r="N3" s="83" t="s">
        <v>9</v>
      </c>
      <c r="O3" s="83"/>
      <c r="P3" s="48" t="s">
        <v>10</v>
      </c>
      <c r="Q3" s="49"/>
      <c r="R3" s="48" t="s">
        <v>11</v>
      </c>
      <c r="S3" s="49"/>
      <c r="T3" s="88" t="s">
        <v>12</v>
      </c>
      <c r="U3" s="88"/>
      <c r="V3" s="64" t="s">
        <v>13</v>
      </c>
      <c r="W3" s="65"/>
    </row>
    <row r="4" s="2" customFormat="1" ht="29.25" customHeight="1" spans="1:23">
      <c r="A4" s="50"/>
      <c r="B4" s="50" t="s">
        <v>14</v>
      </c>
      <c r="C4" s="50" t="s">
        <v>15</v>
      </c>
      <c r="D4" s="50" t="s">
        <v>14</v>
      </c>
      <c r="E4" s="50" t="s">
        <v>15</v>
      </c>
      <c r="F4" s="51" t="s">
        <v>14</v>
      </c>
      <c r="G4" s="51" t="s">
        <v>15</v>
      </c>
      <c r="H4" s="50" t="s">
        <v>14</v>
      </c>
      <c r="I4" s="50" t="s">
        <v>15</v>
      </c>
      <c r="J4" s="51" t="s">
        <v>14</v>
      </c>
      <c r="K4" s="51" t="s">
        <v>15</v>
      </c>
      <c r="L4" s="51" t="s">
        <v>14</v>
      </c>
      <c r="M4" s="51" t="s">
        <v>15</v>
      </c>
      <c r="N4" s="51" t="s">
        <v>14</v>
      </c>
      <c r="O4" s="51" t="s">
        <v>15</v>
      </c>
      <c r="P4" s="51" t="s">
        <v>14</v>
      </c>
      <c r="Q4" s="51" t="s">
        <v>15</v>
      </c>
      <c r="R4" s="51" t="s">
        <v>14</v>
      </c>
      <c r="S4" s="51" t="s">
        <v>15</v>
      </c>
      <c r="T4" s="51" t="s">
        <v>14</v>
      </c>
      <c r="U4" s="51" t="s">
        <v>15</v>
      </c>
      <c r="V4" s="51" t="s">
        <v>14</v>
      </c>
      <c r="W4" s="51" t="s">
        <v>15</v>
      </c>
    </row>
    <row r="5" s="3" customFormat="1" ht="27.75" customHeight="1" spans="1:23">
      <c r="A5" s="52" t="s">
        <v>16</v>
      </c>
      <c r="B5" s="79">
        <v>56.24</v>
      </c>
      <c r="C5" s="78">
        <v>9</v>
      </c>
      <c r="D5" s="78">
        <v>0</v>
      </c>
      <c r="E5" s="78">
        <v>0</v>
      </c>
      <c r="F5" s="79">
        <v>14.04</v>
      </c>
      <c r="G5" s="78">
        <v>2</v>
      </c>
      <c r="H5" s="78">
        <v>0</v>
      </c>
      <c r="I5" s="78">
        <v>0</v>
      </c>
      <c r="J5" s="78">
        <v>0</v>
      </c>
      <c r="K5" s="78">
        <v>0</v>
      </c>
      <c r="L5" s="79">
        <v>13.52</v>
      </c>
      <c r="M5" s="78">
        <v>3</v>
      </c>
      <c r="N5" s="78">
        <v>0</v>
      </c>
      <c r="O5" s="78">
        <v>0</v>
      </c>
      <c r="P5" s="79">
        <v>54.76</v>
      </c>
      <c r="Q5" s="78">
        <v>8</v>
      </c>
      <c r="R5" s="78">
        <v>0</v>
      </c>
      <c r="S5" s="78">
        <v>0</v>
      </c>
      <c r="T5" s="78">
        <v>0</v>
      </c>
      <c r="U5" s="78">
        <v>0</v>
      </c>
      <c r="V5" s="79">
        <f t="shared" ref="V5:V36" si="0">B5+D5+F5+H5+L5+N5+P5+R5+T5</f>
        <v>138.56</v>
      </c>
      <c r="W5" s="81">
        <f t="shared" ref="W5:W36" si="1">C5+E5+G5+I5+M5+O5+Q5+S5+U5</f>
        <v>22</v>
      </c>
    </row>
    <row r="6" s="3" customFormat="1" ht="27.75" customHeight="1" spans="1:23">
      <c r="A6" s="52" t="s">
        <v>17</v>
      </c>
      <c r="B6" s="79">
        <v>52.1</v>
      </c>
      <c r="C6" s="78">
        <v>10</v>
      </c>
      <c r="D6" s="78">
        <v>0</v>
      </c>
      <c r="E6" s="78">
        <v>0</v>
      </c>
      <c r="F6" s="79">
        <v>13.2</v>
      </c>
      <c r="G6" s="78">
        <v>2</v>
      </c>
      <c r="H6" s="78">
        <v>0</v>
      </c>
      <c r="I6" s="78">
        <v>0</v>
      </c>
      <c r="J6" s="78">
        <v>0</v>
      </c>
      <c r="K6" s="78">
        <v>0</v>
      </c>
      <c r="L6" s="79">
        <v>14.08</v>
      </c>
      <c r="M6" s="78">
        <v>3</v>
      </c>
      <c r="N6" s="78">
        <v>0</v>
      </c>
      <c r="O6" s="78">
        <v>0</v>
      </c>
      <c r="P6" s="79">
        <v>50.66</v>
      </c>
      <c r="Q6" s="78">
        <v>7</v>
      </c>
      <c r="R6" s="78">
        <v>0</v>
      </c>
      <c r="S6" s="78">
        <v>0</v>
      </c>
      <c r="T6" s="78">
        <v>0</v>
      </c>
      <c r="U6" s="78">
        <v>0</v>
      </c>
      <c r="V6" s="79">
        <f t="shared" si="0"/>
        <v>130.04</v>
      </c>
      <c r="W6" s="81">
        <f t="shared" si="1"/>
        <v>22</v>
      </c>
    </row>
    <row r="7" s="3" customFormat="1" ht="27.75" customHeight="1" spans="1:23">
      <c r="A7" s="52" t="s">
        <v>18</v>
      </c>
      <c r="B7" s="79">
        <v>39.64</v>
      </c>
      <c r="C7" s="78">
        <v>9</v>
      </c>
      <c r="D7" s="78">
        <v>0</v>
      </c>
      <c r="E7" s="78">
        <v>0</v>
      </c>
      <c r="F7" s="79">
        <v>16.2</v>
      </c>
      <c r="G7" s="78">
        <v>2</v>
      </c>
      <c r="H7" s="78">
        <v>0</v>
      </c>
      <c r="I7" s="78">
        <v>0</v>
      </c>
      <c r="J7" s="78">
        <v>0</v>
      </c>
      <c r="K7" s="78">
        <v>0</v>
      </c>
      <c r="L7" s="79">
        <v>19.82</v>
      </c>
      <c r="M7" s="78">
        <v>5</v>
      </c>
      <c r="N7" s="78">
        <v>0</v>
      </c>
      <c r="O7" s="78">
        <v>0</v>
      </c>
      <c r="P7" s="79">
        <v>56.72</v>
      </c>
      <c r="Q7" s="78">
        <v>9</v>
      </c>
      <c r="R7" s="78">
        <v>0</v>
      </c>
      <c r="S7" s="78">
        <v>0</v>
      </c>
      <c r="T7" s="78">
        <v>0</v>
      </c>
      <c r="U7" s="78">
        <v>0</v>
      </c>
      <c r="V7" s="79">
        <f t="shared" si="0"/>
        <v>132.38</v>
      </c>
      <c r="W7" s="81">
        <f t="shared" si="1"/>
        <v>25</v>
      </c>
    </row>
    <row r="8" s="3" customFormat="1" ht="27.75" customHeight="1" spans="1:23">
      <c r="A8" s="52" t="s">
        <v>19</v>
      </c>
      <c r="B8" s="79">
        <v>69.28</v>
      </c>
      <c r="C8" s="78">
        <v>13</v>
      </c>
      <c r="D8" s="78">
        <v>0</v>
      </c>
      <c r="E8" s="78">
        <v>0</v>
      </c>
      <c r="F8" s="79">
        <v>16.22</v>
      </c>
      <c r="G8" s="78">
        <v>2</v>
      </c>
      <c r="H8" s="78">
        <v>0</v>
      </c>
      <c r="I8" s="78">
        <v>0</v>
      </c>
      <c r="J8" s="78">
        <v>0</v>
      </c>
      <c r="K8" s="78">
        <v>0</v>
      </c>
      <c r="L8" s="79">
        <v>19.08</v>
      </c>
      <c r="M8" s="78">
        <v>5</v>
      </c>
      <c r="N8" s="78">
        <v>0</v>
      </c>
      <c r="O8" s="78">
        <v>0</v>
      </c>
      <c r="P8" s="79">
        <v>54.94</v>
      </c>
      <c r="Q8" s="78">
        <v>8</v>
      </c>
      <c r="R8" s="78">
        <v>0</v>
      </c>
      <c r="S8" s="78">
        <v>0</v>
      </c>
      <c r="T8" s="78">
        <v>0</v>
      </c>
      <c r="U8" s="78">
        <v>0</v>
      </c>
      <c r="V8" s="79">
        <f t="shared" si="0"/>
        <v>159.52</v>
      </c>
      <c r="W8" s="81">
        <f t="shared" si="1"/>
        <v>28</v>
      </c>
    </row>
    <row r="9" s="3" customFormat="1" ht="27.75" customHeight="1" spans="1:23">
      <c r="A9" s="52" t="s">
        <v>20</v>
      </c>
      <c r="B9" s="79">
        <v>57.06</v>
      </c>
      <c r="C9" s="78">
        <v>11</v>
      </c>
      <c r="D9" s="78">
        <v>0</v>
      </c>
      <c r="E9" s="78">
        <v>0</v>
      </c>
      <c r="F9" s="79">
        <v>17.3</v>
      </c>
      <c r="G9" s="78">
        <v>2</v>
      </c>
      <c r="H9" s="78">
        <v>0</v>
      </c>
      <c r="I9" s="78">
        <v>0</v>
      </c>
      <c r="J9" s="78">
        <v>0</v>
      </c>
      <c r="K9" s="78">
        <v>0</v>
      </c>
      <c r="L9" s="79">
        <v>19.52</v>
      </c>
      <c r="M9" s="78">
        <v>5</v>
      </c>
      <c r="N9" s="78">
        <v>0</v>
      </c>
      <c r="O9" s="78">
        <v>0</v>
      </c>
      <c r="P9" s="79">
        <v>54.9</v>
      </c>
      <c r="Q9" s="78">
        <v>8</v>
      </c>
      <c r="R9" s="78">
        <v>0</v>
      </c>
      <c r="S9" s="78">
        <v>0</v>
      </c>
      <c r="T9" s="78">
        <v>0</v>
      </c>
      <c r="U9" s="78">
        <v>0</v>
      </c>
      <c r="V9" s="79">
        <f t="shared" si="0"/>
        <v>148.78</v>
      </c>
      <c r="W9" s="81">
        <f t="shared" si="1"/>
        <v>26</v>
      </c>
    </row>
    <row r="10" s="3" customFormat="1" ht="27.75" customHeight="1" spans="1:23">
      <c r="A10" s="52" t="s">
        <v>21</v>
      </c>
      <c r="B10" s="79">
        <v>52.8</v>
      </c>
      <c r="C10" s="78">
        <v>11</v>
      </c>
      <c r="D10" s="78">
        <v>0</v>
      </c>
      <c r="E10" s="78">
        <v>0</v>
      </c>
      <c r="F10" s="79">
        <v>17.02</v>
      </c>
      <c r="G10" s="78">
        <v>2</v>
      </c>
      <c r="H10" s="78">
        <v>0</v>
      </c>
      <c r="I10" s="78">
        <v>0</v>
      </c>
      <c r="J10" s="78">
        <v>0</v>
      </c>
      <c r="K10" s="78">
        <v>0</v>
      </c>
      <c r="L10" s="79">
        <v>18.94</v>
      </c>
      <c r="M10" s="78">
        <v>5</v>
      </c>
      <c r="N10" s="78">
        <v>0</v>
      </c>
      <c r="O10" s="78">
        <v>0</v>
      </c>
      <c r="P10" s="79">
        <v>57.64</v>
      </c>
      <c r="Q10" s="78">
        <v>8</v>
      </c>
      <c r="R10" s="78">
        <v>0</v>
      </c>
      <c r="S10" s="78">
        <v>0</v>
      </c>
      <c r="T10" s="78">
        <v>0</v>
      </c>
      <c r="U10" s="78">
        <v>0</v>
      </c>
      <c r="V10" s="79">
        <f t="shared" si="0"/>
        <v>146.4</v>
      </c>
      <c r="W10" s="81">
        <f t="shared" si="1"/>
        <v>26</v>
      </c>
    </row>
    <row r="11" s="3" customFormat="1" ht="27.75" customHeight="1" spans="1:23">
      <c r="A11" s="52" t="s">
        <v>22</v>
      </c>
      <c r="B11" s="79">
        <v>44.92</v>
      </c>
      <c r="C11" s="78">
        <v>9</v>
      </c>
      <c r="D11" s="78">
        <v>0</v>
      </c>
      <c r="E11" s="78">
        <v>0</v>
      </c>
      <c r="F11" s="79">
        <v>17.1</v>
      </c>
      <c r="G11" s="78">
        <v>2</v>
      </c>
      <c r="H11" s="78">
        <v>0</v>
      </c>
      <c r="I11" s="78">
        <v>0</v>
      </c>
      <c r="J11" s="78">
        <v>0</v>
      </c>
      <c r="K11" s="78">
        <v>0</v>
      </c>
      <c r="L11" s="79">
        <v>15.02</v>
      </c>
      <c r="M11" s="78">
        <v>3</v>
      </c>
      <c r="N11" s="78">
        <v>0</v>
      </c>
      <c r="O11" s="78">
        <v>0</v>
      </c>
      <c r="P11" s="79">
        <v>57.9</v>
      </c>
      <c r="Q11" s="78">
        <v>8</v>
      </c>
      <c r="R11" s="78">
        <v>0</v>
      </c>
      <c r="S11" s="78">
        <v>0</v>
      </c>
      <c r="T11" s="78">
        <v>0</v>
      </c>
      <c r="U11" s="78">
        <v>0</v>
      </c>
      <c r="V11" s="79">
        <f t="shared" si="0"/>
        <v>134.94</v>
      </c>
      <c r="W11" s="81">
        <f t="shared" si="1"/>
        <v>22</v>
      </c>
    </row>
    <row r="12" s="3" customFormat="1" ht="27.75" customHeight="1" spans="1:23">
      <c r="A12" s="52" t="s">
        <v>23</v>
      </c>
      <c r="B12" s="79">
        <v>48.32</v>
      </c>
      <c r="C12" s="78">
        <v>9</v>
      </c>
      <c r="D12" s="78">
        <v>0</v>
      </c>
      <c r="E12" s="78">
        <v>0</v>
      </c>
      <c r="F12" s="79">
        <v>14.58</v>
      </c>
      <c r="G12" s="78">
        <v>2</v>
      </c>
      <c r="H12" s="78">
        <v>0</v>
      </c>
      <c r="I12" s="78">
        <v>0</v>
      </c>
      <c r="J12" s="78">
        <v>0</v>
      </c>
      <c r="K12" s="78">
        <v>0</v>
      </c>
      <c r="L12" s="79">
        <v>12.12</v>
      </c>
      <c r="M12" s="78">
        <v>3</v>
      </c>
      <c r="N12" s="78">
        <v>0</v>
      </c>
      <c r="O12" s="78">
        <v>0</v>
      </c>
      <c r="P12" s="79">
        <v>52.02</v>
      </c>
      <c r="Q12" s="78">
        <v>7</v>
      </c>
      <c r="R12" s="78">
        <v>0</v>
      </c>
      <c r="S12" s="78">
        <v>0</v>
      </c>
      <c r="T12" s="78">
        <v>0</v>
      </c>
      <c r="U12" s="78">
        <v>0</v>
      </c>
      <c r="V12" s="79">
        <f t="shared" si="0"/>
        <v>127.04</v>
      </c>
      <c r="W12" s="81">
        <f t="shared" si="1"/>
        <v>21</v>
      </c>
    </row>
    <row r="13" s="3" customFormat="1" ht="27.75" customHeight="1" spans="1:23">
      <c r="A13" s="52" t="s">
        <v>24</v>
      </c>
      <c r="B13" s="79">
        <v>54.62</v>
      </c>
      <c r="C13" s="78">
        <v>10</v>
      </c>
      <c r="D13" s="78">
        <v>0</v>
      </c>
      <c r="E13" s="78">
        <v>0</v>
      </c>
      <c r="F13" s="79">
        <v>14.8</v>
      </c>
      <c r="G13" s="78">
        <v>2</v>
      </c>
      <c r="H13" s="78">
        <v>0</v>
      </c>
      <c r="I13" s="78">
        <v>0</v>
      </c>
      <c r="J13" s="78">
        <v>0</v>
      </c>
      <c r="K13" s="78">
        <v>0</v>
      </c>
      <c r="L13" s="79">
        <v>11.06</v>
      </c>
      <c r="M13" s="78">
        <v>3</v>
      </c>
      <c r="N13" s="78">
        <v>0</v>
      </c>
      <c r="O13" s="78">
        <v>0</v>
      </c>
      <c r="P13" s="79">
        <v>58.72</v>
      </c>
      <c r="Q13" s="78">
        <v>8</v>
      </c>
      <c r="R13" s="78">
        <v>0</v>
      </c>
      <c r="S13" s="78">
        <v>0</v>
      </c>
      <c r="T13" s="78">
        <v>0</v>
      </c>
      <c r="U13" s="78">
        <v>0</v>
      </c>
      <c r="V13" s="79">
        <f t="shared" si="0"/>
        <v>139.2</v>
      </c>
      <c r="W13" s="81">
        <f t="shared" si="1"/>
        <v>23</v>
      </c>
    </row>
    <row r="14" s="3" customFormat="1" ht="27.75" customHeight="1" spans="1:23">
      <c r="A14" s="52" t="s">
        <v>25</v>
      </c>
      <c r="B14" s="79">
        <v>48.6</v>
      </c>
      <c r="C14" s="78">
        <v>11</v>
      </c>
      <c r="D14" s="78">
        <v>0</v>
      </c>
      <c r="E14" s="78">
        <v>0</v>
      </c>
      <c r="F14" s="79">
        <v>16.02</v>
      </c>
      <c r="G14" s="78">
        <v>2</v>
      </c>
      <c r="H14" s="78">
        <v>0</v>
      </c>
      <c r="I14" s="78">
        <v>0</v>
      </c>
      <c r="J14" s="78">
        <v>0</v>
      </c>
      <c r="K14" s="78">
        <v>0</v>
      </c>
      <c r="L14" s="79">
        <v>17.06</v>
      </c>
      <c r="M14" s="78">
        <v>4</v>
      </c>
      <c r="N14" s="78">
        <v>0</v>
      </c>
      <c r="O14" s="78">
        <v>0</v>
      </c>
      <c r="P14" s="79">
        <v>54.56</v>
      </c>
      <c r="Q14" s="78">
        <v>8</v>
      </c>
      <c r="R14" s="78">
        <v>0</v>
      </c>
      <c r="S14" s="78">
        <v>0</v>
      </c>
      <c r="T14" s="78">
        <v>0</v>
      </c>
      <c r="U14" s="78">
        <v>0</v>
      </c>
      <c r="V14" s="79">
        <f t="shared" si="0"/>
        <v>136.24</v>
      </c>
      <c r="W14" s="81">
        <f t="shared" si="1"/>
        <v>25</v>
      </c>
    </row>
    <row r="15" s="3" customFormat="1" ht="27.75" customHeight="1" spans="1:23">
      <c r="A15" s="52" t="s">
        <v>26</v>
      </c>
      <c r="B15" s="79">
        <v>61.04</v>
      </c>
      <c r="C15" s="78">
        <v>12</v>
      </c>
      <c r="D15" s="78">
        <v>0</v>
      </c>
      <c r="E15" s="78">
        <v>0</v>
      </c>
      <c r="F15" s="79">
        <v>17.02</v>
      </c>
      <c r="G15" s="78">
        <v>2</v>
      </c>
      <c r="H15" s="78">
        <v>0</v>
      </c>
      <c r="I15" s="78">
        <v>0</v>
      </c>
      <c r="J15" s="78">
        <v>0</v>
      </c>
      <c r="K15" s="78">
        <v>0</v>
      </c>
      <c r="L15" s="79">
        <v>16.06</v>
      </c>
      <c r="M15" s="78">
        <v>4</v>
      </c>
      <c r="N15" s="78">
        <v>0</v>
      </c>
      <c r="O15" s="78">
        <v>0</v>
      </c>
      <c r="P15" s="79">
        <v>53.78</v>
      </c>
      <c r="Q15" s="78">
        <v>8</v>
      </c>
      <c r="R15" s="78">
        <v>0</v>
      </c>
      <c r="S15" s="78">
        <v>0</v>
      </c>
      <c r="T15" s="78">
        <v>0</v>
      </c>
      <c r="U15" s="78">
        <v>0</v>
      </c>
      <c r="V15" s="79">
        <f t="shared" si="0"/>
        <v>147.9</v>
      </c>
      <c r="W15" s="81">
        <f t="shared" si="1"/>
        <v>26</v>
      </c>
    </row>
    <row r="16" s="3" customFormat="1" ht="27.75" customHeight="1" spans="1:23">
      <c r="A16" s="52" t="s">
        <v>27</v>
      </c>
      <c r="B16" s="79">
        <v>59.94</v>
      </c>
      <c r="C16" s="78">
        <v>12</v>
      </c>
      <c r="D16" s="78">
        <v>0</v>
      </c>
      <c r="E16" s="78">
        <v>0</v>
      </c>
      <c r="F16" s="79">
        <v>17.28</v>
      </c>
      <c r="G16" s="78">
        <v>2</v>
      </c>
      <c r="H16" s="78">
        <v>0</v>
      </c>
      <c r="I16" s="78">
        <v>0</v>
      </c>
      <c r="J16" s="78">
        <v>0</v>
      </c>
      <c r="K16" s="78">
        <v>0</v>
      </c>
      <c r="L16" s="79">
        <v>20.54</v>
      </c>
      <c r="M16" s="78">
        <v>5</v>
      </c>
      <c r="N16" s="78">
        <v>0</v>
      </c>
      <c r="O16" s="78">
        <v>0</v>
      </c>
      <c r="P16" s="79">
        <v>62.4</v>
      </c>
      <c r="Q16" s="78">
        <v>9</v>
      </c>
      <c r="R16" s="78">
        <v>0</v>
      </c>
      <c r="S16" s="78">
        <v>0</v>
      </c>
      <c r="T16" s="78">
        <v>0</v>
      </c>
      <c r="U16" s="78">
        <v>0</v>
      </c>
      <c r="V16" s="79">
        <f t="shared" si="0"/>
        <v>160.16</v>
      </c>
      <c r="W16" s="81">
        <f t="shared" si="1"/>
        <v>28</v>
      </c>
    </row>
    <row r="17" s="3" customFormat="1" ht="27.75" customHeight="1" spans="1:23">
      <c r="A17" s="52" t="s">
        <v>28</v>
      </c>
      <c r="B17" s="79">
        <v>45.26</v>
      </c>
      <c r="C17" s="78">
        <v>10</v>
      </c>
      <c r="D17" s="78">
        <v>0</v>
      </c>
      <c r="E17" s="78">
        <v>0</v>
      </c>
      <c r="F17" s="79">
        <v>16.98</v>
      </c>
      <c r="G17" s="78">
        <v>2</v>
      </c>
      <c r="H17" s="78">
        <v>0</v>
      </c>
      <c r="I17" s="78">
        <v>0</v>
      </c>
      <c r="J17" s="78">
        <v>0</v>
      </c>
      <c r="K17" s="78">
        <v>0</v>
      </c>
      <c r="L17" s="79">
        <v>17.4</v>
      </c>
      <c r="M17" s="78">
        <v>5</v>
      </c>
      <c r="N17" s="78">
        <v>0</v>
      </c>
      <c r="O17" s="78">
        <v>0</v>
      </c>
      <c r="P17" s="79">
        <v>53.18</v>
      </c>
      <c r="Q17" s="78">
        <v>8</v>
      </c>
      <c r="R17" s="78">
        <v>0</v>
      </c>
      <c r="S17" s="78">
        <v>0</v>
      </c>
      <c r="T17" s="78">
        <v>0</v>
      </c>
      <c r="U17" s="78">
        <v>0</v>
      </c>
      <c r="V17" s="79">
        <f t="shared" si="0"/>
        <v>132.82</v>
      </c>
      <c r="W17" s="81">
        <f t="shared" si="1"/>
        <v>25</v>
      </c>
    </row>
    <row r="18" s="3" customFormat="1" ht="27.75" customHeight="1" spans="1:23">
      <c r="A18" s="52" t="s">
        <v>29</v>
      </c>
      <c r="B18" s="79">
        <v>54.2</v>
      </c>
      <c r="C18" s="78">
        <v>10</v>
      </c>
      <c r="D18" s="78">
        <v>0</v>
      </c>
      <c r="E18" s="78">
        <v>0</v>
      </c>
      <c r="F18" s="79">
        <v>16.52</v>
      </c>
      <c r="G18" s="78">
        <v>2</v>
      </c>
      <c r="H18" s="78">
        <v>0</v>
      </c>
      <c r="I18" s="78">
        <v>0</v>
      </c>
      <c r="J18" s="78">
        <v>0</v>
      </c>
      <c r="K18" s="78">
        <v>0</v>
      </c>
      <c r="L18" s="79">
        <v>15.46</v>
      </c>
      <c r="M18" s="78">
        <v>3</v>
      </c>
      <c r="N18" s="78">
        <v>0</v>
      </c>
      <c r="O18" s="78">
        <v>0</v>
      </c>
      <c r="P18" s="79">
        <v>44.04</v>
      </c>
      <c r="Q18" s="78">
        <v>7</v>
      </c>
      <c r="R18" s="78">
        <v>0</v>
      </c>
      <c r="S18" s="78">
        <v>0</v>
      </c>
      <c r="T18" s="78">
        <v>0</v>
      </c>
      <c r="U18" s="78">
        <v>0</v>
      </c>
      <c r="V18" s="79">
        <f t="shared" si="0"/>
        <v>130.22</v>
      </c>
      <c r="W18" s="81">
        <f t="shared" si="1"/>
        <v>22</v>
      </c>
    </row>
    <row r="19" s="3" customFormat="1" ht="27.75" customHeight="1" spans="1:23">
      <c r="A19" s="52" t="s">
        <v>30</v>
      </c>
      <c r="B19" s="79">
        <v>42.46</v>
      </c>
      <c r="C19" s="78">
        <v>8</v>
      </c>
      <c r="D19" s="78">
        <v>0</v>
      </c>
      <c r="E19" s="78">
        <v>0</v>
      </c>
      <c r="F19" s="79">
        <v>13.32</v>
      </c>
      <c r="G19" s="78">
        <v>2</v>
      </c>
      <c r="H19" s="78">
        <v>0</v>
      </c>
      <c r="I19" s="78">
        <v>0</v>
      </c>
      <c r="J19" s="78">
        <v>0</v>
      </c>
      <c r="K19" s="78">
        <v>0</v>
      </c>
      <c r="L19" s="79">
        <v>12.04</v>
      </c>
      <c r="M19" s="78">
        <v>3</v>
      </c>
      <c r="N19" s="78">
        <v>0</v>
      </c>
      <c r="O19" s="78">
        <v>0</v>
      </c>
      <c r="P19" s="79">
        <v>47.22</v>
      </c>
      <c r="Q19" s="78">
        <v>6</v>
      </c>
      <c r="R19" s="78">
        <v>0</v>
      </c>
      <c r="S19" s="78">
        <v>0</v>
      </c>
      <c r="T19" s="78">
        <v>0</v>
      </c>
      <c r="U19" s="78">
        <v>0</v>
      </c>
      <c r="V19" s="79">
        <f t="shared" si="0"/>
        <v>115.04</v>
      </c>
      <c r="W19" s="81">
        <f t="shared" si="1"/>
        <v>19</v>
      </c>
    </row>
    <row r="20" s="3" customFormat="1" ht="27.75" customHeight="1" spans="1:23">
      <c r="A20" s="52" t="s">
        <v>31</v>
      </c>
      <c r="B20" s="79">
        <v>46.42</v>
      </c>
      <c r="C20" s="78">
        <v>9</v>
      </c>
      <c r="D20" s="78">
        <v>0</v>
      </c>
      <c r="E20" s="78">
        <v>0</v>
      </c>
      <c r="F20" s="79">
        <v>12.6</v>
      </c>
      <c r="G20" s="78">
        <v>2</v>
      </c>
      <c r="H20" s="78">
        <v>0</v>
      </c>
      <c r="I20" s="78">
        <v>0</v>
      </c>
      <c r="J20" s="78">
        <v>0</v>
      </c>
      <c r="K20" s="78">
        <v>0</v>
      </c>
      <c r="L20" s="79">
        <v>14.42</v>
      </c>
      <c r="M20" s="78">
        <v>4</v>
      </c>
      <c r="N20" s="78">
        <v>0</v>
      </c>
      <c r="O20" s="78">
        <v>0</v>
      </c>
      <c r="P20" s="79">
        <v>41.32</v>
      </c>
      <c r="Q20" s="78">
        <v>6</v>
      </c>
      <c r="R20" s="78">
        <v>0</v>
      </c>
      <c r="S20" s="78">
        <v>0</v>
      </c>
      <c r="T20" s="78">
        <v>0</v>
      </c>
      <c r="U20" s="78">
        <v>0</v>
      </c>
      <c r="V20" s="79">
        <f t="shared" si="0"/>
        <v>114.76</v>
      </c>
      <c r="W20" s="81">
        <f t="shared" si="1"/>
        <v>21</v>
      </c>
    </row>
    <row r="21" s="3" customFormat="1" ht="27.75" customHeight="1" spans="1:23">
      <c r="A21" s="52" t="s">
        <v>32</v>
      </c>
      <c r="B21" s="79">
        <v>61.6</v>
      </c>
      <c r="C21" s="78">
        <v>13</v>
      </c>
      <c r="D21" s="78">
        <v>0</v>
      </c>
      <c r="E21" s="78">
        <v>0</v>
      </c>
      <c r="F21" s="79">
        <v>16.12</v>
      </c>
      <c r="G21" s="78">
        <v>2</v>
      </c>
      <c r="H21" s="78">
        <v>0</v>
      </c>
      <c r="I21" s="78">
        <v>0</v>
      </c>
      <c r="J21" s="78">
        <v>0</v>
      </c>
      <c r="K21" s="78">
        <v>0</v>
      </c>
      <c r="L21" s="79">
        <v>18.72</v>
      </c>
      <c r="M21" s="78">
        <v>5</v>
      </c>
      <c r="N21" s="78">
        <v>0</v>
      </c>
      <c r="O21" s="78">
        <v>0</v>
      </c>
      <c r="P21" s="79">
        <v>53.6</v>
      </c>
      <c r="Q21" s="78">
        <v>8</v>
      </c>
      <c r="R21" s="78">
        <v>0</v>
      </c>
      <c r="S21" s="78">
        <v>0</v>
      </c>
      <c r="T21" s="78">
        <v>0</v>
      </c>
      <c r="U21" s="78">
        <v>0</v>
      </c>
      <c r="V21" s="79">
        <f t="shared" si="0"/>
        <v>150.04</v>
      </c>
      <c r="W21" s="81">
        <f t="shared" si="1"/>
        <v>28</v>
      </c>
    </row>
    <row r="22" s="3" customFormat="1" ht="27.75" customHeight="1" spans="1:23">
      <c r="A22" s="52" t="s">
        <v>33</v>
      </c>
      <c r="B22" s="79">
        <v>46.82</v>
      </c>
      <c r="C22" s="78">
        <v>10</v>
      </c>
      <c r="D22" s="78">
        <v>0</v>
      </c>
      <c r="E22" s="78">
        <v>0</v>
      </c>
      <c r="F22" s="79">
        <v>11.98</v>
      </c>
      <c r="G22" s="78">
        <v>2</v>
      </c>
      <c r="H22" s="78">
        <v>0</v>
      </c>
      <c r="I22" s="78">
        <v>0</v>
      </c>
      <c r="J22" s="78">
        <v>0</v>
      </c>
      <c r="K22" s="78">
        <v>0</v>
      </c>
      <c r="L22" s="79">
        <v>19.3</v>
      </c>
      <c r="M22" s="78">
        <v>4</v>
      </c>
      <c r="N22" s="78">
        <v>0</v>
      </c>
      <c r="O22" s="78">
        <v>0</v>
      </c>
      <c r="P22" s="79">
        <v>49.4</v>
      </c>
      <c r="Q22" s="78">
        <v>7</v>
      </c>
      <c r="R22" s="78">
        <v>0</v>
      </c>
      <c r="S22" s="78">
        <v>0</v>
      </c>
      <c r="T22" s="78">
        <v>0</v>
      </c>
      <c r="U22" s="78">
        <v>0</v>
      </c>
      <c r="V22" s="79">
        <f t="shared" si="0"/>
        <v>127.5</v>
      </c>
      <c r="W22" s="81">
        <f t="shared" si="1"/>
        <v>23</v>
      </c>
    </row>
    <row r="23" s="3" customFormat="1" ht="27.75" customHeight="1" spans="1:23">
      <c r="A23" s="52" t="s">
        <v>34</v>
      </c>
      <c r="B23" s="79">
        <v>45.58</v>
      </c>
      <c r="C23" s="78">
        <v>10</v>
      </c>
      <c r="D23" s="78">
        <v>0</v>
      </c>
      <c r="E23" s="78">
        <v>0</v>
      </c>
      <c r="F23" s="79">
        <v>16.06</v>
      </c>
      <c r="G23" s="78">
        <v>2</v>
      </c>
      <c r="H23" s="78">
        <v>0</v>
      </c>
      <c r="I23" s="78">
        <v>0</v>
      </c>
      <c r="J23" s="78">
        <v>0</v>
      </c>
      <c r="K23" s="78">
        <v>0</v>
      </c>
      <c r="L23" s="79">
        <v>11.38</v>
      </c>
      <c r="M23" s="78">
        <v>2</v>
      </c>
      <c r="N23" s="78">
        <v>0</v>
      </c>
      <c r="O23" s="78">
        <v>0</v>
      </c>
      <c r="P23" s="79">
        <v>40.14</v>
      </c>
      <c r="Q23" s="78">
        <v>6</v>
      </c>
      <c r="R23" s="78">
        <v>0</v>
      </c>
      <c r="S23" s="78">
        <v>0</v>
      </c>
      <c r="T23" s="78">
        <v>0</v>
      </c>
      <c r="U23" s="78">
        <v>0</v>
      </c>
      <c r="V23" s="79">
        <f t="shared" si="0"/>
        <v>113.16</v>
      </c>
      <c r="W23" s="81">
        <f t="shared" si="1"/>
        <v>20</v>
      </c>
    </row>
    <row r="24" s="3" customFormat="1" ht="27.75" customHeight="1" spans="1:23">
      <c r="A24" s="52" t="s">
        <v>35</v>
      </c>
      <c r="B24" s="79">
        <v>54.36</v>
      </c>
      <c r="C24" s="78">
        <v>12</v>
      </c>
      <c r="D24" s="78">
        <v>0</v>
      </c>
      <c r="E24" s="78">
        <v>0</v>
      </c>
      <c r="F24" s="79">
        <v>12.38</v>
      </c>
      <c r="G24" s="78">
        <v>2</v>
      </c>
      <c r="H24" s="78">
        <v>0</v>
      </c>
      <c r="I24" s="78">
        <v>0</v>
      </c>
      <c r="J24" s="78">
        <v>0</v>
      </c>
      <c r="K24" s="78">
        <v>0</v>
      </c>
      <c r="L24" s="79">
        <v>13.92</v>
      </c>
      <c r="M24" s="78">
        <v>3</v>
      </c>
      <c r="N24" s="78">
        <v>0</v>
      </c>
      <c r="O24" s="78">
        <v>0</v>
      </c>
      <c r="P24" s="79">
        <v>53.74</v>
      </c>
      <c r="Q24" s="78">
        <v>8</v>
      </c>
      <c r="R24" s="78">
        <v>0</v>
      </c>
      <c r="S24" s="78">
        <v>0</v>
      </c>
      <c r="T24" s="78">
        <v>0</v>
      </c>
      <c r="U24" s="78">
        <v>0</v>
      </c>
      <c r="V24" s="79">
        <f t="shared" si="0"/>
        <v>134.4</v>
      </c>
      <c r="W24" s="81">
        <f t="shared" si="1"/>
        <v>25</v>
      </c>
    </row>
    <row r="25" s="3" customFormat="1" ht="27.75" customHeight="1" spans="1:23">
      <c r="A25" s="52" t="s">
        <v>36</v>
      </c>
      <c r="B25" s="79">
        <v>65.38</v>
      </c>
      <c r="C25" s="78">
        <v>12</v>
      </c>
      <c r="D25" s="78">
        <v>0</v>
      </c>
      <c r="E25" s="78">
        <v>0</v>
      </c>
      <c r="F25" s="79">
        <v>12.78</v>
      </c>
      <c r="G25" s="78">
        <v>2</v>
      </c>
      <c r="H25" s="78">
        <v>0</v>
      </c>
      <c r="I25" s="78">
        <v>0</v>
      </c>
      <c r="J25" s="78">
        <v>0</v>
      </c>
      <c r="K25" s="78">
        <v>0</v>
      </c>
      <c r="L25" s="79">
        <v>11.98</v>
      </c>
      <c r="M25" s="78">
        <v>2</v>
      </c>
      <c r="N25" s="78">
        <v>0</v>
      </c>
      <c r="O25" s="78">
        <v>0</v>
      </c>
      <c r="P25" s="79">
        <v>48.58</v>
      </c>
      <c r="Q25" s="78">
        <v>7</v>
      </c>
      <c r="R25" s="78">
        <v>0</v>
      </c>
      <c r="S25" s="78">
        <v>0</v>
      </c>
      <c r="T25" s="78">
        <v>0</v>
      </c>
      <c r="U25" s="78">
        <v>0</v>
      </c>
      <c r="V25" s="79">
        <f t="shared" si="0"/>
        <v>138.72</v>
      </c>
      <c r="W25" s="81">
        <f t="shared" si="1"/>
        <v>23</v>
      </c>
    </row>
    <row r="26" s="3" customFormat="1" ht="27.75" customHeight="1" spans="1:23">
      <c r="A26" s="52" t="s">
        <v>37</v>
      </c>
      <c r="B26" s="79">
        <v>34.92</v>
      </c>
      <c r="C26" s="78">
        <v>7</v>
      </c>
      <c r="D26" s="78">
        <v>0</v>
      </c>
      <c r="E26" s="78">
        <v>0</v>
      </c>
      <c r="F26" s="79">
        <v>9.02</v>
      </c>
      <c r="G26" s="78">
        <v>1</v>
      </c>
      <c r="H26" s="78">
        <v>0</v>
      </c>
      <c r="I26" s="78">
        <v>0</v>
      </c>
      <c r="J26" s="78">
        <v>0</v>
      </c>
      <c r="K26" s="78">
        <v>0</v>
      </c>
      <c r="L26" s="79">
        <v>9.28</v>
      </c>
      <c r="M26" s="78">
        <v>2</v>
      </c>
      <c r="N26" s="78">
        <v>0</v>
      </c>
      <c r="O26" s="78">
        <v>0</v>
      </c>
      <c r="P26" s="79">
        <v>41.9</v>
      </c>
      <c r="Q26" s="78">
        <v>6</v>
      </c>
      <c r="R26" s="78">
        <v>0</v>
      </c>
      <c r="S26" s="78">
        <v>0</v>
      </c>
      <c r="T26" s="78">
        <v>0</v>
      </c>
      <c r="U26" s="78">
        <v>0</v>
      </c>
      <c r="V26" s="79">
        <f t="shared" si="0"/>
        <v>95.12</v>
      </c>
      <c r="W26" s="81">
        <f t="shared" si="1"/>
        <v>16</v>
      </c>
    </row>
    <row r="27" s="3" customFormat="1" ht="27.75" customHeight="1" spans="1:23">
      <c r="A27" s="52" t="s">
        <v>38</v>
      </c>
      <c r="B27" s="79">
        <v>44.9</v>
      </c>
      <c r="C27" s="78">
        <v>9</v>
      </c>
      <c r="D27" s="78">
        <v>0</v>
      </c>
      <c r="E27" s="78">
        <v>0</v>
      </c>
      <c r="F27" s="79">
        <v>9.02</v>
      </c>
      <c r="G27" s="78">
        <v>1</v>
      </c>
      <c r="H27" s="78">
        <v>0</v>
      </c>
      <c r="I27" s="78">
        <v>0</v>
      </c>
      <c r="J27" s="78">
        <v>0</v>
      </c>
      <c r="K27" s="78">
        <v>0</v>
      </c>
      <c r="L27" s="79">
        <v>9.66</v>
      </c>
      <c r="M27" s="78">
        <v>2</v>
      </c>
      <c r="N27" s="78">
        <v>0</v>
      </c>
      <c r="O27" s="78">
        <v>0</v>
      </c>
      <c r="P27" s="79">
        <v>55.3</v>
      </c>
      <c r="Q27" s="78">
        <v>8</v>
      </c>
      <c r="R27" s="78">
        <v>0</v>
      </c>
      <c r="S27" s="78">
        <v>0</v>
      </c>
      <c r="T27" s="78">
        <v>0</v>
      </c>
      <c r="U27" s="78">
        <v>0</v>
      </c>
      <c r="V27" s="79">
        <f t="shared" si="0"/>
        <v>118.88</v>
      </c>
      <c r="W27" s="81">
        <f t="shared" si="1"/>
        <v>20</v>
      </c>
    </row>
    <row r="28" s="3" customFormat="1" ht="27.75" customHeight="1" spans="1:23">
      <c r="A28" s="52" t="s">
        <v>39</v>
      </c>
      <c r="B28" s="79">
        <v>54.32</v>
      </c>
      <c r="C28" s="78">
        <v>12</v>
      </c>
      <c r="D28" s="78">
        <v>0</v>
      </c>
      <c r="E28" s="78">
        <v>0</v>
      </c>
      <c r="F28" s="79">
        <v>16</v>
      </c>
      <c r="G28" s="78">
        <v>2</v>
      </c>
      <c r="H28" s="78">
        <v>0</v>
      </c>
      <c r="I28" s="78">
        <v>0</v>
      </c>
      <c r="J28" s="78">
        <v>0</v>
      </c>
      <c r="K28" s="78">
        <v>0</v>
      </c>
      <c r="L28" s="79">
        <v>10.5</v>
      </c>
      <c r="M28" s="78">
        <v>2</v>
      </c>
      <c r="N28" s="78">
        <v>0</v>
      </c>
      <c r="O28" s="78">
        <v>0</v>
      </c>
      <c r="P28" s="79">
        <v>46.06</v>
      </c>
      <c r="Q28" s="78">
        <v>7</v>
      </c>
      <c r="R28" s="78">
        <v>0</v>
      </c>
      <c r="S28" s="78">
        <v>0</v>
      </c>
      <c r="T28" s="78">
        <v>0</v>
      </c>
      <c r="U28" s="78">
        <v>0</v>
      </c>
      <c r="V28" s="79">
        <f t="shared" si="0"/>
        <v>126.88</v>
      </c>
      <c r="W28" s="81">
        <f t="shared" si="1"/>
        <v>23</v>
      </c>
    </row>
    <row r="29" s="3" customFormat="1" ht="27.75" customHeight="1" spans="1:23">
      <c r="A29" s="52" t="s">
        <v>40</v>
      </c>
      <c r="B29" s="79">
        <v>56</v>
      </c>
      <c r="C29" s="78">
        <v>12</v>
      </c>
      <c r="D29" s="78">
        <v>0</v>
      </c>
      <c r="E29" s="78">
        <v>0</v>
      </c>
      <c r="F29" s="79">
        <v>16.56</v>
      </c>
      <c r="G29" s="78">
        <v>2</v>
      </c>
      <c r="H29" s="78">
        <v>0</v>
      </c>
      <c r="I29" s="78">
        <v>0</v>
      </c>
      <c r="J29" s="78">
        <v>0</v>
      </c>
      <c r="K29" s="78">
        <v>0</v>
      </c>
      <c r="L29" s="79">
        <v>20.28</v>
      </c>
      <c r="M29" s="78">
        <v>5</v>
      </c>
      <c r="N29" s="78">
        <v>0</v>
      </c>
      <c r="O29" s="78">
        <v>0</v>
      </c>
      <c r="P29" s="79">
        <v>47.44</v>
      </c>
      <c r="Q29" s="78">
        <v>7</v>
      </c>
      <c r="R29" s="78">
        <v>0</v>
      </c>
      <c r="S29" s="78">
        <v>0</v>
      </c>
      <c r="T29" s="78">
        <v>0</v>
      </c>
      <c r="U29" s="78">
        <v>0</v>
      </c>
      <c r="V29" s="79">
        <f t="shared" si="0"/>
        <v>140.28</v>
      </c>
      <c r="W29" s="81">
        <f t="shared" si="1"/>
        <v>26</v>
      </c>
    </row>
    <row r="30" s="3" customFormat="1" ht="27.75" customHeight="1" spans="1:23">
      <c r="A30" s="52" t="s">
        <v>41</v>
      </c>
      <c r="B30" s="79">
        <v>61.96</v>
      </c>
      <c r="C30" s="78">
        <v>12</v>
      </c>
      <c r="D30" s="78">
        <v>0</v>
      </c>
      <c r="E30" s="78">
        <v>0</v>
      </c>
      <c r="F30" s="79">
        <v>15.48</v>
      </c>
      <c r="G30" s="78">
        <v>2</v>
      </c>
      <c r="H30" s="78">
        <v>0</v>
      </c>
      <c r="I30" s="78">
        <v>0</v>
      </c>
      <c r="J30" s="78">
        <v>0</v>
      </c>
      <c r="K30" s="78">
        <v>0</v>
      </c>
      <c r="L30" s="79">
        <v>12.42</v>
      </c>
      <c r="M30" s="78">
        <v>3</v>
      </c>
      <c r="N30" s="78">
        <v>0</v>
      </c>
      <c r="O30" s="78">
        <v>0</v>
      </c>
      <c r="P30" s="79">
        <v>50.7</v>
      </c>
      <c r="Q30" s="78">
        <v>7</v>
      </c>
      <c r="R30" s="78">
        <v>0</v>
      </c>
      <c r="S30" s="78">
        <v>0</v>
      </c>
      <c r="T30" s="78">
        <v>0</v>
      </c>
      <c r="U30" s="78">
        <v>0</v>
      </c>
      <c r="V30" s="79">
        <f t="shared" si="0"/>
        <v>140.56</v>
      </c>
      <c r="W30" s="81">
        <f t="shared" si="1"/>
        <v>24</v>
      </c>
    </row>
    <row r="31" s="3" customFormat="1" ht="27.75" customHeight="1" spans="1:23">
      <c r="A31" s="52" t="s">
        <v>42</v>
      </c>
      <c r="B31" s="79">
        <v>51.4</v>
      </c>
      <c r="C31" s="78">
        <v>11</v>
      </c>
      <c r="D31" s="78">
        <v>0</v>
      </c>
      <c r="E31" s="78">
        <v>0</v>
      </c>
      <c r="F31" s="79">
        <v>16.14</v>
      </c>
      <c r="G31" s="78">
        <v>2</v>
      </c>
      <c r="H31" s="78">
        <v>0</v>
      </c>
      <c r="I31" s="78">
        <v>0</v>
      </c>
      <c r="J31" s="78">
        <v>0</v>
      </c>
      <c r="K31" s="78">
        <v>0</v>
      </c>
      <c r="L31" s="79">
        <v>12.7</v>
      </c>
      <c r="M31" s="78">
        <v>3</v>
      </c>
      <c r="N31" s="78">
        <v>0</v>
      </c>
      <c r="O31" s="78">
        <v>0</v>
      </c>
      <c r="P31" s="79">
        <v>46.9</v>
      </c>
      <c r="Q31" s="78">
        <v>7</v>
      </c>
      <c r="R31" s="78">
        <v>0</v>
      </c>
      <c r="S31" s="78">
        <v>0</v>
      </c>
      <c r="T31" s="78">
        <v>0</v>
      </c>
      <c r="U31" s="78">
        <v>0</v>
      </c>
      <c r="V31" s="79">
        <f t="shared" si="0"/>
        <v>127.14</v>
      </c>
      <c r="W31" s="81">
        <f t="shared" si="1"/>
        <v>23</v>
      </c>
    </row>
    <row r="32" s="3" customFormat="1" ht="27.75" customHeight="1" spans="1:23">
      <c r="A32" s="52" t="s">
        <v>43</v>
      </c>
      <c r="B32" s="79">
        <v>58.48</v>
      </c>
      <c r="C32" s="78">
        <v>11</v>
      </c>
      <c r="D32" s="78">
        <v>0</v>
      </c>
      <c r="E32" s="78">
        <v>0</v>
      </c>
      <c r="F32" s="79">
        <v>16.6</v>
      </c>
      <c r="G32" s="78">
        <v>2</v>
      </c>
      <c r="H32" s="78">
        <v>0</v>
      </c>
      <c r="I32" s="78">
        <v>0</v>
      </c>
      <c r="J32" s="78">
        <v>0</v>
      </c>
      <c r="K32" s="78">
        <v>0</v>
      </c>
      <c r="L32" s="79">
        <v>11.06</v>
      </c>
      <c r="M32" s="78">
        <v>2</v>
      </c>
      <c r="N32" s="78">
        <v>0</v>
      </c>
      <c r="O32" s="78">
        <v>0</v>
      </c>
      <c r="P32" s="79">
        <v>43.3</v>
      </c>
      <c r="Q32" s="78">
        <v>6</v>
      </c>
      <c r="R32" s="78">
        <v>0</v>
      </c>
      <c r="S32" s="78">
        <v>0</v>
      </c>
      <c r="T32" s="78">
        <v>0</v>
      </c>
      <c r="U32" s="78">
        <v>0</v>
      </c>
      <c r="V32" s="79">
        <f t="shared" si="0"/>
        <v>129.44</v>
      </c>
      <c r="W32" s="81">
        <f t="shared" si="1"/>
        <v>21</v>
      </c>
    </row>
    <row r="33" s="3" customFormat="1" ht="27.75" customHeight="1" spans="1:23">
      <c r="A33" s="52" t="s">
        <v>44</v>
      </c>
      <c r="B33" s="79">
        <v>38.48</v>
      </c>
      <c r="C33" s="78">
        <v>7</v>
      </c>
      <c r="D33" s="78">
        <v>0</v>
      </c>
      <c r="E33" s="78">
        <v>0</v>
      </c>
      <c r="F33" s="79">
        <v>9.14</v>
      </c>
      <c r="G33" s="78">
        <v>1</v>
      </c>
      <c r="H33" s="78">
        <v>0</v>
      </c>
      <c r="I33" s="78">
        <v>0</v>
      </c>
      <c r="J33" s="78">
        <v>0</v>
      </c>
      <c r="K33" s="78">
        <v>0</v>
      </c>
      <c r="L33" s="79">
        <v>8.28</v>
      </c>
      <c r="M33" s="78">
        <v>2</v>
      </c>
      <c r="N33" s="78">
        <v>0</v>
      </c>
      <c r="O33" s="78">
        <v>0</v>
      </c>
      <c r="P33" s="79">
        <v>53.08</v>
      </c>
      <c r="Q33" s="78">
        <v>8</v>
      </c>
      <c r="R33" s="78">
        <v>0</v>
      </c>
      <c r="S33" s="78">
        <v>0</v>
      </c>
      <c r="T33" s="78">
        <v>0</v>
      </c>
      <c r="U33" s="78">
        <v>0</v>
      </c>
      <c r="V33" s="79">
        <f t="shared" si="0"/>
        <v>108.98</v>
      </c>
      <c r="W33" s="81">
        <f t="shared" si="1"/>
        <v>18</v>
      </c>
    </row>
    <row r="34" s="3" customFormat="1" ht="27.75" customHeight="1" spans="1:23">
      <c r="A34" s="52" t="s">
        <v>45</v>
      </c>
      <c r="B34" s="79">
        <v>40.96</v>
      </c>
      <c r="C34" s="78">
        <v>8</v>
      </c>
      <c r="D34" s="78">
        <v>0</v>
      </c>
      <c r="E34" s="78">
        <v>0</v>
      </c>
      <c r="F34" s="79">
        <v>8.56</v>
      </c>
      <c r="G34" s="78">
        <v>1</v>
      </c>
      <c r="H34" s="78">
        <v>0</v>
      </c>
      <c r="I34" s="78">
        <v>0</v>
      </c>
      <c r="J34" s="78">
        <v>0</v>
      </c>
      <c r="K34" s="78">
        <v>0</v>
      </c>
      <c r="L34" s="79">
        <v>12.08</v>
      </c>
      <c r="M34" s="78">
        <v>3</v>
      </c>
      <c r="N34" s="78">
        <v>0</v>
      </c>
      <c r="O34" s="78">
        <v>0</v>
      </c>
      <c r="P34" s="79">
        <v>41.88</v>
      </c>
      <c r="Q34" s="78">
        <v>6</v>
      </c>
      <c r="R34" s="78">
        <v>0</v>
      </c>
      <c r="S34" s="78">
        <v>0</v>
      </c>
      <c r="T34" s="78">
        <v>0</v>
      </c>
      <c r="U34" s="78">
        <v>0</v>
      </c>
      <c r="V34" s="79">
        <f t="shared" si="0"/>
        <v>103.48</v>
      </c>
      <c r="W34" s="81">
        <f t="shared" si="1"/>
        <v>18</v>
      </c>
    </row>
    <row r="35" s="3" customFormat="1" ht="25.5" customHeight="1" spans="1:23">
      <c r="A35" s="52" t="s">
        <v>46</v>
      </c>
      <c r="B35" s="79">
        <v>67.76</v>
      </c>
      <c r="C35" s="78">
        <v>13</v>
      </c>
      <c r="D35" s="78">
        <v>0</v>
      </c>
      <c r="E35" s="78">
        <v>0</v>
      </c>
      <c r="F35" s="79">
        <v>17.26</v>
      </c>
      <c r="G35" s="78">
        <v>2</v>
      </c>
      <c r="H35" s="84">
        <v>0</v>
      </c>
      <c r="I35" s="78">
        <v>0</v>
      </c>
      <c r="J35" s="84">
        <v>0</v>
      </c>
      <c r="K35" s="78">
        <v>0</v>
      </c>
      <c r="L35" s="84">
        <v>17.16</v>
      </c>
      <c r="M35" s="78">
        <v>5</v>
      </c>
      <c r="N35" s="84">
        <v>0</v>
      </c>
      <c r="O35" s="78">
        <v>0</v>
      </c>
      <c r="P35" s="84">
        <v>47.34</v>
      </c>
      <c r="Q35" s="78">
        <v>7</v>
      </c>
      <c r="R35" s="84">
        <v>0</v>
      </c>
      <c r="S35" s="78">
        <v>0</v>
      </c>
      <c r="T35" s="84">
        <v>0</v>
      </c>
      <c r="U35" s="78">
        <v>0</v>
      </c>
      <c r="V35" s="79">
        <f t="shared" si="0"/>
        <v>149.52</v>
      </c>
      <c r="W35" s="81">
        <f t="shared" si="1"/>
        <v>27</v>
      </c>
    </row>
    <row r="36" s="3" customFormat="1" ht="56.25" customHeight="1" spans="1:27">
      <c r="A36" s="53" t="s">
        <v>13</v>
      </c>
      <c r="B36" s="84">
        <f t="shared" ref="B36:U36" si="2">SUM(B5:B35)</f>
        <v>1615.82</v>
      </c>
      <c r="C36" s="78">
        <f t="shared" si="2"/>
        <v>322</v>
      </c>
      <c r="D36" s="84">
        <f t="shared" si="2"/>
        <v>0</v>
      </c>
      <c r="E36" s="78">
        <f t="shared" si="2"/>
        <v>0</v>
      </c>
      <c r="F36" s="84">
        <f t="shared" si="2"/>
        <v>453.3</v>
      </c>
      <c r="G36" s="78">
        <f t="shared" si="2"/>
        <v>58</v>
      </c>
      <c r="H36" s="84">
        <f t="shared" si="2"/>
        <v>0</v>
      </c>
      <c r="I36" s="78">
        <f t="shared" si="2"/>
        <v>0</v>
      </c>
      <c r="J36" s="84">
        <f t="shared" si="2"/>
        <v>0</v>
      </c>
      <c r="K36" s="78">
        <f t="shared" si="2"/>
        <v>0</v>
      </c>
      <c r="L36" s="84">
        <f t="shared" si="2"/>
        <v>454.86</v>
      </c>
      <c r="M36" s="78">
        <f t="shared" si="2"/>
        <v>108</v>
      </c>
      <c r="N36" s="84">
        <f t="shared" si="2"/>
        <v>0</v>
      </c>
      <c r="O36" s="78">
        <f t="shared" si="2"/>
        <v>0</v>
      </c>
      <c r="P36" s="84">
        <f t="shared" si="2"/>
        <v>1574.12</v>
      </c>
      <c r="Q36" s="78">
        <f t="shared" si="2"/>
        <v>228</v>
      </c>
      <c r="R36" s="84">
        <f t="shared" si="2"/>
        <v>0</v>
      </c>
      <c r="S36" s="78">
        <f t="shared" si="2"/>
        <v>0</v>
      </c>
      <c r="T36" s="84">
        <f t="shared" si="2"/>
        <v>0</v>
      </c>
      <c r="U36" s="78">
        <f t="shared" si="2"/>
        <v>0</v>
      </c>
      <c r="V36" s="79">
        <f t="shared" si="0"/>
        <v>4098.1</v>
      </c>
      <c r="W36" s="81">
        <f t="shared" si="1"/>
        <v>716</v>
      </c>
      <c r="Y36" s="31"/>
      <c r="AA36" s="31"/>
    </row>
    <row r="37" s="82" customFormat="1" ht="9.75" customHeight="1" spans="1:23">
      <c r="A37" s="85"/>
      <c r="B37" s="86"/>
      <c r="C37" s="87"/>
      <c r="D37" s="87"/>
      <c r="E37" s="87"/>
      <c r="F37" s="87"/>
      <c r="G37" s="87"/>
      <c r="H37" s="87"/>
      <c r="I37" s="87"/>
      <c r="J37" s="87"/>
      <c r="K37" s="87"/>
      <c r="L37" s="86"/>
      <c r="M37" s="86"/>
      <c r="N37" s="86"/>
      <c r="O37" s="86"/>
      <c r="P37" s="86"/>
      <c r="Q37" s="86"/>
      <c r="R37" s="86"/>
      <c r="S37" s="86"/>
      <c r="T37" s="89"/>
      <c r="U37" s="89"/>
      <c r="V37" s="89"/>
      <c r="W37" s="89"/>
    </row>
    <row r="38" s="4" customFormat="1" ht="33.75" customHeight="1" spans="1:25">
      <c r="A38" s="59" t="s">
        <v>47</v>
      </c>
      <c r="B38" s="61"/>
      <c r="C38" s="61"/>
      <c r="D38" s="61"/>
      <c r="E38" s="61"/>
      <c r="F38" s="61"/>
      <c r="G38" s="61"/>
      <c r="H38" s="61"/>
      <c r="I38" s="61"/>
      <c r="J38" s="61"/>
      <c r="K38" s="61"/>
      <c r="L38" s="4"/>
      <c r="Q38" s="63"/>
      <c r="R38" s="63"/>
      <c r="S38" s="63"/>
      <c r="W38" s="68"/>
      <c r="Y38" s="44"/>
    </row>
    <row r="39" s="1" customFormat="1" spans="1:11">
      <c r="A39" s="26"/>
      <c r="B39" s="26"/>
      <c r="C39" s="26"/>
      <c r="D39" s="26"/>
      <c r="E39" s="26"/>
      <c r="F39" s="26"/>
      <c r="G39" s="26"/>
      <c r="H39" s="26"/>
      <c r="I39" s="26"/>
      <c r="J39" s="26"/>
      <c r="K39" s="26"/>
    </row>
    <row r="40" spans="1:25">
      <c r="A40" s="25"/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1"/>
      <c r="T40" s="37"/>
      <c r="U40" s="37"/>
      <c r="V40" s="37"/>
      <c r="Y40" s="37"/>
    </row>
    <row r="41" spans="2:3">
      <c r="B41" s="26"/>
      <c r="C41" s="26"/>
    </row>
    <row r="42" spans="2:3">
      <c r="B42" s="26"/>
      <c r="C42" s="26"/>
    </row>
    <row r="43" spans="2:3">
      <c r="B43" s="26"/>
      <c r="C43" s="26"/>
    </row>
    <row r="44" spans="2:3">
      <c r="B44" s="26"/>
      <c r="C44" s="26"/>
    </row>
    <row r="45" spans="2:3">
      <c r="B45" s="26"/>
      <c r="C45" s="26"/>
    </row>
  </sheetData>
  <mergeCells count="15">
    <mergeCell ref="A1:W1"/>
    <mergeCell ref="B2:W2"/>
    <mergeCell ref="B3:C3"/>
    <mergeCell ref="D3:E3"/>
    <mergeCell ref="F3:G3"/>
    <mergeCell ref="H3:I3"/>
    <mergeCell ref="J3:K3"/>
    <mergeCell ref="L3:M3"/>
    <mergeCell ref="N3:O3"/>
    <mergeCell ref="P3:Q3"/>
    <mergeCell ref="R3:S3"/>
    <mergeCell ref="T3:U3"/>
    <mergeCell ref="V3:W3"/>
    <mergeCell ref="A40:B40"/>
    <mergeCell ref="A3:A4"/>
  </mergeCells>
  <pageMargins left="0.47" right="0.22" top="0.26" bottom="0.23" header="0.37" footer="0.2"/>
  <pageSetup paperSize="9" scale="49" orientation="landscape" horizontalDpi="600" verticalDpi="600"/>
  <headerFooter alignWithMargins="0" scaleWithDoc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1"/>
  </sheetPr>
  <dimension ref="A1:M46"/>
  <sheetViews>
    <sheetView zoomScale="70" zoomScaleNormal="70" zoomScaleSheetLayoutView="60" workbookViewId="0">
      <pane xSplit="1" ySplit="4" topLeftCell="B19" activePane="bottomRight" state="frozen"/>
      <selection/>
      <selection pane="topRight"/>
      <selection pane="bottomLeft"/>
      <selection pane="bottomRight" activeCell="D25" sqref="D25:E35"/>
    </sheetView>
  </sheetViews>
  <sheetFormatPr defaultColWidth="9" defaultRowHeight="14.25"/>
  <cols>
    <col min="1" max="1" width="5.375" style="1" customWidth="1"/>
    <col min="2" max="2" width="18" style="1" customWidth="1"/>
    <col min="3" max="3" width="9" style="1"/>
    <col min="4" max="4" width="14.875" style="1" customWidth="1"/>
    <col min="5" max="5" width="10.25" style="1" customWidth="1"/>
    <col min="6" max="6" width="15.75" style="1" customWidth="1"/>
    <col min="7" max="7" width="9.875" style="1" customWidth="1"/>
    <col min="8" max="8" width="16.125" style="1" customWidth="1"/>
    <col min="9" max="9" width="10.625" style="1" customWidth="1"/>
    <col min="10" max="10" width="9" style="1"/>
    <col min="11" max="11" width="16.125" style="1"/>
    <col min="12" max="12" width="9" style="1"/>
    <col min="13" max="13" width="11.625" style="1"/>
    <col min="14" max="16384" width="9" style="1"/>
  </cols>
  <sheetData>
    <row r="1" s="1" customFormat="1" ht="35.25" customHeight="1" spans="1:9">
      <c r="A1" s="45" t="s">
        <v>0</v>
      </c>
      <c r="B1" s="45"/>
      <c r="C1" s="45"/>
      <c r="D1" s="45"/>
      <c r="E1" s="45"/>
      <c r="F1" s="45"/>
      <c r="G1" s="45"/>
      <c r="H1" s="45"/>
      <c r="I1" s="45"/>
    </row>
    <row r="2" s="2" customFormat="1" ht="23.25" customHeight="1" spans="1:9">
      <c r="A2" s="6">
        <v>1000</v>
      </c>
      <c r="B2" s="46" t="s">
        <v>48</v>
      </c>
      <c r="C2" s="46"/>
      <c r="D2" s="46"/>
      <c r="E2" s="46"/>
      <c r="F2" s="46"/>
      <c r="G2" s="46"/>
      <c r="H2" s="46"/>
      <c r="I2" s="46"/>
    </row>
    <row r="3" s="2" customFormat="1" ht="51.75" customHeight="1" spans="1:9">
      <c r="A3" s="47" t="s">
        <v>2</v>
      </c>
      <c r="B3" s="48" t="s">
        <v>49</v>
      </c>
      <c r="C3" s="49"/>
      <c r="D3" s="48" t="s">
        <v>50</v>
      </c>
      <c r="E3" s="49"/>
      <c r="F3" s="48" t="s">
        <v>7</v>
      </c>
      <c r="G3" s="49"/>
      <c r="H3" s="64" t="s">
        <v>13</v>
      </c>
      <c r="I3" s="65"/>
    </row>
    <row r="4" s="2" customFormat="1" ht="29.25" customHeight="1" spans="1:9">
      <c r="A4" s="50"/>
      <c r="B4" s="51" t="s">
        <v>14</v>
      </c>
      <c r="C4" s="51" t="s">
        <v>15</v>
      </c>
      <c r="D4" s="51" t="s">
        <v>14</v>
      </c>
      <c r="E4" s="51" t="s">
        <v>15</v>
      </c>
      <c r="F4" s="51" t="s">
        <v>14</v>
      </c>
      <c r="G4" s="51" t="s">
        <v>15</v>
      </c>
      <c r="H4" s="51" t="s">
        <v>14</v>
      </c>
      <c r="I4" s="51" t="s">
        <v>15</v>
      </c>
    </row>
    <row r="5" s="3" customFormat="1" ht="27" customHeight="1" spans="1:9">
      <c r="A5" s="52" t="s">
        <v>16</v>
      </c>
      <c r="B5" s="77">
        <v>0</v>
      </c>
      <c r="C5" s="78">
        <v>0</v>
      </c>
      <c r="D5" s="77">
        <f>8.24+5.8</f>
        <v>14.04</v>
      </c>
      <c r="E5" s="78">
        <v>2</v>
      </c>
      <c r="F5" s="77">
        <v>0</v>
      </c>
      <c r="G5" s="78">
        <v>0</v>
      </c>
      <c r="H5" s="79">
        <f t="shared" ref="H5:H35" si="0">+B5+D5+F5</f>
        <v>14.04</v>
      </c>
      <c r="I5" s="81">
        <f t="shared" ref="I5:I35" si="1">+C5+E5+G5</f>
        <v>2</v>
      </c>
    </row>
    <row r="6" s="3" customFormat="1" ht="27" customHeight="1" spans="1:9">
      <c r="A6" s="52" t="s">
        <v>17</v>
      </c>
      <c r="B6" s="77">
        <v>0</v>
      </c>
      <c r="C6" s="78">
        <v>0</v>
      </c>
      <c r="D6" s="77">
        <f>8.36+4.84</f>
        <v>13.2</v>
      </c>
      <c r="E6" s="78">
        <v>2</v>
      </c>
      <c r="F6" s="77">
        <v>0</v>
      </c>
      <c r="G6" s="78">
        <v>0</v>
      </c>
      <c r="H6" s="79">
        <f t="shared" si="0"/>
        <v>13.2</v>
      </c>
      <c r="I6" s="81">
        <f t="shared" si="1"/>
        <v>2</v>
      </c>
    </row>
    <row r="7" s="3" customFormat="1" ht="27" customHeight="1" spans="1:9">
      <c r="A7" s="52" t="s">
        <v>18</v>
      </c>
      <c r="B7" s="77">
        <v>0</v>
      </c>
      <c r="C7" s="78">
        <v>0</v>
      </c>
      <c r="D7" s="77">
        <f>9.7+6.5</f>
        <v>16.2</v>
      </c>
      <c r="E7" s="78">
        <v>2</v>
      </c>
      <c r="F7" s="77">
        <v>0</v>
      </c>
      <c r="G7" s="78">
        <v>0</v>
      </c>
      <c r="H7" s="79">
        <f t="shared" si="0"/>
        <v>16.2</v>
      </c>
      <c r="I7" s="81">
        <f t="shared" si="1"/>
        <v>2</v>
      </c>
    </row>
    <row r="8" s="3" customFormat="1" ht="27" customHeight="1" spans="1:9">
      <c r="A8" s="52" t="s">
        <v>19</v>
      </c>
      <c r="B8" s="77">
        <v>0</v>
      </c>
      <c r="C8" s="78">
        <v>0</v>
      </c>
      <c r="D8" s="77">
        <f>6+10.22</f>
        <v>16.22</v>
      </c>
      <c r="E8" s="78">
        <v>2</v>
      </c>
      <c r="F8" s="77">
        <v>0</v>
      </c>
      <c r="G8" s="78">
        <v>0</v>
      </c>
      <c r="H8" s="79">
        <f t="shared" si="0"/>
        <v>16.22</v>
      </c>
      <c r="I8" s="81">
        <f t="shared" si="1"/>
        <v>2</v>
      </c>
    </row>
    <row r="9" s="3" customFormat="1" ht="27" customHeight="1" spans="1:9">
      <c r="A9" s="52" t="s">
        <v>20</v>
      </c>
      <c r="B9" s="77">
        <v>0</v>
      </c>
      <c r="C9" s="78">
        <v>0</v>
      </c>
      <c r="D9" s="77">
        <f>10.42+6.88</f>
        <v>17.3</v>
      </c>
      <c r="E9" s="78">
        <v>2</v>
      </c>
      <c r="F9" s="77">
        <v>0</v>
      </c>
      <c r="G9" s="78">
        <v>0</v>
      </c>
      <c r="H9" s="79">
        <f t="shared" si="0"/>
        <v>17.3</v>
      </c>
      <c r="I9" s="81">
        <f t="shared" si="1"/>
        <v>2</v>
      </c>
    </row>
    <row r="10" s="3" customFormat="1" ht="27" customHeight="1" spans="1:9">
      <c r="A10" s="52" t="s">
        <v>21</v>
      </c>
      <c r="B10" s="77">
        <v>0</v>
      </c>
      <c r="C10" s="78">
        <v>0</v>
      </c>
      <c r="D10" s="77">
        <f>10.76+6.26</f>
        <v>17.02</v>
      </c>
      <c r="E10" s="78">
        <v>2</v>
      </c>
      <c r="F10" s="77">
        <v>0</v>
      </c>
      <c r="G10" s="78">
        <v>0</v>
      </c>
      <c r="H10" s="79">
        <f t="shared" si="0"/>
        <v>17.02</v>
      </c>
      <c r="I10" s="81">
        <f t="shared" si="1"/>
        <v>2</v>
      </c>
    </row>
    <row r="11" s="3" customFormat="1" ht="27" customHeight="1" spans="1:9">
      <c r="A11" s="52" t="s">
        <v>22</v>
      </c>
      <c r="B11" s="77">
        <v>0</v>
      </c>
      <c r="C11" s="78">
        <v>0</v>
      </c>
      <c r="D11" s="77">
        <f>10.82+6.28</f>
        <v>17.1</v>
      </c>
      <c r="E11" s="78">
        <v>2</v>
      </c>
      <c r="F11" s="77">
        <v>0</v>
      </c>
      <c r="G11" s="78">
        <v>0</v>
      </c>
      <c r="H11" s="79">
        <f t="shared" si="0"/>
        <v>17.1</v>
      </c>
      <c r="I11" s="81">
        <f t="shared" si="1"/>
        <v>2</v>
      </c>
    </row>
    <row r="12" s="3" customFormat="1" ht="27" customHeight="1" spans="1:9">
      <c r="A12" s="52" t="s">
        <v>23</v>
      </c>
      <c r="B12" s="77">
        <v>0</v>
      </c>
      <c r="C12" s="78">
        <v>0</v>
      </c>
      <c r="D12" s="77">
        <f>8.12+6.46</f>
        <v>14.58</v>
      </c>
      <c r="E12" s="78">
        <v>2</v>
      </c>
      <c r="F12" s="77">
        <v>0</v>
      </c>
      <c r="G12" s="78">
        <v>0</v>
      </c>
      <c r="H12" s="79">
        <f t="shared" si="0"/>
        <v>14.58</v>
      </c>
      <c r="I12" s="81">
        <f t="shared" si="1"/>
        <v>2</v>
      </c>
    </row>
    <row r="13" s="3" customFormat="1" ht="27" customHeight="1" spans="1:9">
      <c r="A13" s="52" t="s">
        <v>24</v>
      </c>
      <c r="B13" s="77">
        <v>0</v>
      </c>
      <c r="C13" s="78">
        <v>0</v>
      </c>
      <c r="D13" s="77">
        <f>5.74+9.06</f>
        <v>14.8</v>
      </c>
      <c r="E13" s="78">
        <v>2</v>
      </c>
      <c r="F13" s="77">
        <v>0</v>
      </c>
      <c r="G13" s="78">
        <v>0</v>
      </c>
      <c r="H13" s="79">
        <f t="shared" si="0"/>
        <v>14.8</v>
      </c>
      <c r="I13" s="81">
        <f t="shared" si="1"/>
        <v>2</v>
      </c>
    </row>
    <row r="14" s="3" customFormat="1" ht="27" customHeight="1" spans="1:9">
      <c r="A14" s="52" t="s">
        <v>25</v>
      </c>
      <c r="B14" s="77">
        <v>0</v>
      </c>
      <c r="C14" s="78">
        <v>0</v>
      </c>
      <c r="D14" s="77">
        <f>6.04+9.98</f>
        <v>16.02</v>
      </c>
      <c r="E14" s="78">
        <v>2</v>
      </c>
      <c r="F14" s="77">
        <v>0</v>
      </c>
      <c r="G14" s="78">
        <v>0</v>
      </c>
      <c r="H14" s="79">
        <f t="shared" si="0"/>
        <v>16.02</v>
      </c>
      <c r="I14" s="81">
        <f t="shared" si="1"/>
        <v>2</v>
      </c>
    </row>
    <row r="15" s="3" customFormat="1" ht="27" customHeight="1" spans="1:9">
      <c r="A15" s="52" t="s">
        <v>26</v>
      </c>
      <c r="B15" s="77">
        <v>0</v>
      </c>
      <c r="C15" s="78">
        <v>0</v>
      </c>
      <c r="D15" s="77">
        <f>6.22+10.8</f>
        <v>17.02</v>
      </c>
      <c r="E15" s="78">
        <v>2</v>
      </c>
      <c r="F15" s="77">
        <v>0</v>
      </c>
      <c r="G15" s="78">
        <v>0</v>
      </c>
      <c r="H15" s="79">
        <f t="shared" si="0"/>
        <v>17.02</v>
      </c>
      <c r="I15" s="81">
        <f t="shared" si="1"/>
        <v>2</v>
      </c>
    </row>
    <row r="16" s="3" customFormat="1" ht="27" customHeight="1" spans="1:9">
      <c r="A16" s="52" t="s">
        <v>27</v>
      </c>
      <c r="B16" s="77">
        <v>0</v>
      </c>
      <c r="C16" s="78">
        <v>0</v>
      </c>
      <c r="D16" s="77">
        <f>6.5+10.78</f>
        <v>17.28</v>
      </c>
      <c r="E16" s="78">
        <v>2</v>
      </c>
      <c r="F16" s="77">
        <v>0</v>
      </c>
      <c r="G16" s="78">
        <v>0</v>
      </c>
      <c r="H16" s="79">
        <f t="shared" si="0"/>
        <v>17.28</v>
      </c>
      <c r="I16" s="81">
        <f t="shared" si="1"/>
        <v>2</v>
      </c>
    </row>
    <row r="17" s="3" customFormat="1" ht="27" customHeight="1" spans="1:9">
      <c r="A17" s="52" t="s">
        <v>28</v>
      </c>
      <c r="B17" s="77">
        <v>0</v>
      </c>
      <c r="C17" s="78">
        <v>0</v>
      </c>
      <c r="D17" s="77">
        <f>10.08+6.9</f>
        <v>16.98</v>
      </c>
      <c r="E17" s="78">
        <v>2</v>
      </c>
      <c r="F17" s="77">
        <v>0</v>
      </c>
      <c r="G17" s="78">
        <v>0</v>
      </c>
      <c r="H17" s="79">
        <f t="shared" si="0"/>
        <v>16.98</v>
      </c>
      <c r="I17" s="81">
        <f t="shared" si="1"/>
        <v>2</v>
      </c>
    </row>
    <row r="18" s="3" customFormat="1" ht="27" customHeight="1" spans="1:9">
      <c r="A18" s="52" t="s">
        <v>29</v>
      </c>
      <c r="B18" s="77">
        <v>0</v>
      </c>
      <c r="C18" s="78">
        <v>0</v>
      </c>
      <c r="D18" s="77">
        <f>10.54+5.98</f>
        <v>16.52</v>
      </c>
      <c r="E18" s="78">
        <v>2</v>
      </c>
      <c r="F18" s="77">
        <v>0</v>
      </c>
      <c r="G18" s="78">
        <v>0</v>
      </c>
      <c r="H18" s="79">
        <f t="shared" si="0"/>
        <v>16.52</v>
      </c>
      <c r="I18" s="81">
        <f t="shared" si="1"/>
        <v>2</v>
      </c>
    </row>
    <row r="19" s="3" customFormat="1" ht="27" customHeight="1" spans="1:9">
      <c r="A19" s="52" t="s">
        <v>30</v>
      </c>
      <c r="B19" s="77">
        <v>0</v>
      </c>
      <c r="C19" s="78">
        <v>0</v>
      </c>
      <c r="D19" s="77">
        <f>7.8+5.52</f>
        <v>13.32</v>
      </c>
      <c r="E19" s="78">
        <v>2</v>
      </c>
      <c r="F19" s="77">
        <v>0</v>
      </c>
      <c r="G19" s="78">
        <v>0</v>
      </c>
      <c r="H19" s="79">
        <f t="shared" si="0"/>
        <v>13.32</v>
      </c>
      <c r="I19" s="81">
        <f t="shared" si="1"/>
        <v>2</v>
      </c>
    </row>
    <row r="20" s="3" customFormat="1" ht="27" customHeight="1" spans="1:9">
      <c r="A20" s="52" t="s">
        <v>31</v>
      </c>
      <c r="B20" s="77">
        <v>0</v>
      </c>
      <c r="C20" s="78">
        <v>0</v>
      </c>
      <c r="D20" s="77">
        <f>7.7+4.9</f>
        <v>12.6</v>
      </c>
      <c r="E20" s="78">
        <v>2</v>
      </c>
      <c r="F20" s="77">
        <v>0</v>
      </c>
      <c r="G20" s="78">
        <v>0</v>
      </c>
      <c r="H20" s="79">
        <f t="shared" si="0"/>
        <v>12.6</v>
      </c>
      <c r="I20" s="81">
        <f t="shared" si="1"/>
        <v>2</v>
      </c>
    </row>
    <row r="21" s="3" customFormat="1" ht="27" customHeight="1" spans="1:9">
      <c r="A21" s="52" t="s">
        <v>32</v>
      </c>
      <c r="B21" s="77">
        <v>0</v>
      </c>
      <c r="C21" s="78">
        <v>0</v>
      </c>
      <c r="D21" s="77">
        <f>9.76+6.36</f>
        <v>16.12</v>
      </c>
      <c r="E21" s="78">
        <v>2</v>
      </c>
      <c r="F21" s="77">
        <v>0</v>
      </c>
      <c r="G21" s="78">
        <v>0</v>
      </c>
      <c r="H21" s="79">
        <f t="shared" si="0"/>
        <v>16.12</v>
      </c>
      <c r="I21" s="81">
        <f t="shared" si="1"/>
        <v>2</v>
      </c>
    </row>
    <row r="22" s="3" customFormat="1" ht="27" customHeight="1" spans="1:9">
      <c r="A22" s="52" t="s">
        <v>33</v>
      </c>
      <c r="B22" s="77">
        <v>0</v>
      </c>
      <c r="C22" s="78">
        <v>0</v>
      </c>
      <c r="D22" s="77">
        <f>7.62+4.36</f>
        <v>11.98</v>
      </c>
      <c r="E22" s="78">
        <v>2</v>
      </c>
      <c r="F22" s="77">
        <v>0</v>
      </c>
      <c r="G22" s="78">
        <v>0</v>
      </c>
      <c r="H22" s="79">
        <f t="shared" si="0"/>
        <v>11.98</v>
      </c>
      <c r="I22" s="81">
        <f t="shared" si="1"/>
        <v>2</v>
      </c>
    </row>
    <row r="23" s="3" customFormat="1" ht="27" customHeight="1" spans="1:9">
      <c r="A23" s="52" t="s">
        <v>34</v>
      </c>
      <c r="B23" s="77">
        <v>0</v>
      </c>
      <c r="C23" s="78">
        <v>0</v>
      </c>
      <c r="D23" s="77">
        <f>6.3+9.76</f>
        <v>16.06</v>
      </c>
      <c r="E23" s="78">
        <v>2</v>
      </c>
      <c r="F23" s="77">
        <v>0</v>
      </c>
      <c r="G23" s="78">
        <v>0</v>
      </c>
      <c r="H23" s="79">
        <f t="shared" si="0"/>
        <v>16.06</v>
      </c>
      <c r="I23" s="81">
        <f t="shared" si="1"/>
        <v>2</v>
      </c>
    </row>
    <row r="24" s="3" customFormat="1" ht="27" customHeight="1" spans="1:9">
      <c r="A24" s="52" t="s">
        <v>35</v>
      </c>
      <c r="B24" s="77">
        <v>0</v>
      </c>
      <c r="C24" s="78">
        <v>0</v>
      </c>
      <c r="D24" s="77">
        <f>7.82+4.56</f>
        <v>12.38</v>
      </c>
      <c r="E24" s="78">
        <v>2</v>
      </c>
      <c r="F24" s="77">
        <v>0</v>
      </c>
      <c r="G24" s="78">
        <v>0</v>
      </c>
      <c r="H24" s="79">
        <f t="shared" si="0"/>
        <v>12.38</v>
      </c>
      <c r="I24" s="81">
        <f t="shared" si="1"/>
        <v>2</v>
      </c>
    </row>
    <row r="25" s="3" customFormat="1" ht="27" customHeight="1" spans="1:9">
      <c r="A25" s="52" t="s">
        <v>36</v>
      </c>
      <c r="B25" s="77">
        <v>0</v>
      </c>
      <c r="C25" s="78">
        <v>0</v>
      </c>
      <c r="D25" s="77">
        <f>4.72+8.06</f>
        <v>12.78</v>
      </c>
      <c r="E25" s="78">
        <v>2</v>
      </c>
      <c r="F25" s="77">
        <v>0</v>
      </c>
      <c r="G25" s="78">
        <v>0</v>
      </c>
      <c r="H25" s="79">
        <f t="shared" si="0"/>
        <v>12.78</v>
      </c>
      <c r="I25" s="81">
        <f t="shared" si="1"/>
        <v>2</v>
      </c>
    </row>
    <row r="26" s="3" customFormat="1" ht="27" customHeight="1" spans="1:9">
      <c r="A26" s="52" t="s">
        <v>37</v>
      </c>
      <c r="B26" s="77">
        <v>0</v>
      </c>
      <c r="C26" s="78">
        <v>0</v>
      </c>
      <c r="D26" s="77">
        <f>9.02</f>
        <v>9.02</v>
      </c>
      <c r="E26" s="78">
        <v>1</v>
      </c>
      <c r="F26" s="77">
        <v>0</v>
      </c>
      <c r="G26" s="78">
        <v>0</v>
      </c>
      <c r="H26" s="79">
        <f t="shared" si="0"/>
        <v>9.02</v>
      </c>
      <c r="I26" s="81">
        <f t="shared" si="1"/>
        <v>1</v>
      </c>
    </row>
    <row r="27" s="3" customFormat="1" ht="27" customHeight="1" spans="1:9">
      <c r="A27" s="52" t="s">
        <v>38</v>
      </c>
      <c r="B27" s="77">
        <v>0</v>
      </c>
      <c r="C27" s="78">
        <v>0</v>
      </c>
      <c r="D27" s="77">
        <v>9.02</v>
      </c>
      <c r="E27" s="78">
        <v>1</v>
      </c>
      <c r="F27" s="77">
        <v>0</v>
      </c>
      <c r="G27" s="78">
        <v>0</v>
      </c>
      <c r="H27" s="79">
        <f t="shared" si="0"/>
        <v>9.02</v>
      </c>
      <c r="I27" s="81">
        <f t="shared" si="1"/>
        <v>1</v>
      </c>
    </row>
    <row r="28" s="3" customFormat="1" ht="27" customHeight="1" spans="1:9">
      <c r="A28" s="52" t="s">
        <v>39</v>
      </c>
      <c r="B28" s="77">
        <v>0</v>
      </c>
      <c r="C28" s="78">
        <v>0</v>
      </c>
      <c r="D28" s="77">
        <f>9.06+6.94</f>
        <v>16</v>
      </c>
      <c r="E28" s="78">
        <v>2</v>
      </c>
      <c r="F28" s="77">
        <v>0</v>
      </c>
      <c r="G28" s="78">
        <v>0</v>
      </c>
      <c r="H28" s="79">
        <f t="shared" si="0"/>
        <v>16</v>
      </c>
      <c r="I28" s="81">
        <f t="shared" si="1"/>
        <v>2</v>
      </c>
    </row>
    <row r="29" s="3" customFormat="1" ht="27" customHeight="1" spans="1:9">
      <c r="A29" s="52" t="s">
        <v>40</v>
      </c>
      <c r="B29" s="77">
        <v>0</v>
      </c>
      <c r="C29" s="78">
        <v>0</v>
      </c>
      <c r="D29" s="77">
        <f>10.16+6.4</f>
        <v>16.56</v>
      </c>
      <c r="E29" s="78">
        <v>2</v>
      </c>
      <c r="F29" s="77">
        <v>0</v>
      </c>
      <c r="G29" s="78">
        <v>0</v>
      </c>
      <c r="H29" s="79">
        <f t="shared" si="0"/>
        <v>16.56</v>
      </c>
      <c r="I29" s="81">
        <f t="shared" si="1"/>
        <v>2</v>
      </c>
    </row>
    <row r="30" s="3" customFormat="1" ht="27" customHeight="1" spans="1:9">
      <c r="A30" s="52" t="s">
        <v>41</v>
      </c>
      <c r="B30" s="77">
        <v>0</v>
      </c>
      <c r="C30" s="78">
        <v>0</v>
      </c>
      <c r="D30" s="77">
        <f>9.36+6.12</f>
        <v>15.48</v>
      </c>
      <c r="E30" s="78">
        <v>2</v>
      </c>
      <c r="F30" s="77">
        <v>0</v>
      </c>
      <c r="G30" s="78">
        <v>0</v>
      </c>
      <c r="H30" s="79">
        <f t="shared" si="0"/>
        <v>15.48</v>
      </c>
      <c r="I30" s="81">
        <f t="shared" si="1"/>
        <v>2</v>
      </c>
    </row>
    <row r="31" s="3" customFormat="1" ht="27" customHeight="1" spans="1:9">
      <c r="A31" s="52" t="s">
        <v>42</v>
      </c>
      <c r="B31" s="77">
        <v>0</v>
      </c>
      <c r="C31" s="78">
        <v>0</v>
      </c>
      <c r="D31" s="77">
        <f>6.62+9.52</f>
        <v>16.14</v>
      </c>
      <c r="E31" s="78">
        <v>2</v>
      </c>
      <c r="F31" s="77">
        <v>0</v>
      </c>
      <c r="G31" s="78">
        <v>0</v>
      </c>
      <c r="H31" s="79">
        <f t="shared" si="0"/>
        <v>16.14</v>
      </c>
      <c r="I31" s="81">
        <f t="shared" si="1"/>
        <v>2</v>
      </c>
    </row>
    <row r="32" s="3" customFormat="1" ht="27" customHeight="1" spans="1:9">
      <c r="A32" s="52" t="s">
        <v>43</v>
      </c>
      <c r="B32" s="77">
        <v>0</v>
      </c>
      <c r="C32" s="78">
        <v>0</v>
      </c>
      <c r="D32" s="77">
        <f>9.96+6.64</f>
        <v>16.6</v>
      </c>
      <c r="E32" s="78">
        <v>2</v>
      </c>
      <c r="F32" s="77">
        <v>0</v>
      </c>
      <c r="G32" s="78">
        <v>0</v>
      </c>
      <c r="H32" s="79">
        <f t="shared" si="0"/>
        <v>16.6</v>
      </c>
      <c r="I32" s="81">
        <f t="shared" si="1"/>
        <v>2</v>
      </c>
    </row>
    <row r="33" s="3" customFormat="1" ht="27" customHeight="1" spans="1:9">
      <c r="A33" s="52" t="s">
        <v>44</v>
      </c>
      <c r="B33" s="77">
        <v>0</v>
      </c>
      <c r="C33" s="78">
        <v>0</v>
      </c>
      <c r="D33" s="77">
        <f>9.14</f>
        <v>9.14</v>
      </c>
      <c r="E33" s="78">
        <v>1</v>
      </c>
      <c r="F33" s="77">
        <v>0</v>
      </c>
      <c r="G33" s="78">
        <v>0</v>
      </c>
      <c r="H33" s="79">
        <f t="shared" si="0"/>
        <v>9.14</v>
      </c>
      <c r="I33" s="81">
        <f t="shared" si="1"/>
        <v>1</v>
      </c>
    </row>
    <row r="34" s="3" customFormat="1" ht="27" customHeight="1" spans="1:9">
      <c r="A34" s="52" t="s">
        <v>45</v>
      </c>
      <c r="B34" s="77">
        <v>0</v>
      </c>
      <c r="C34" s="78">
        <v>0</v>
      </c>
      <c r="D34" s="77">
        <f>8.56</f>
        <v>8.56</v>
      </c>
      <c r="E34" s="78">
        <v>1</v>
      </c>
      <c r="F34" s="77">
        <v>0</v>
      </c>
      <c r="G34" s="78">
        <v>0</v>
      </c>
      <c r="H34" s="79">
        <f t="shared" si="0"/>
        <v>8.56</v>
      </c>
      <c r="I34" s="81">
        <f t="shared" si="1"/>
        <v>1</v>
      </c>
    </row>
    <row r="35" s="3" customFormat="1" ht="27.75" customHeight="1" spans="1:9">
      <c r="A35" s="52" t="s">
        <v>46</v>
      </c>
      <c r="B35" s="77">
        <v>0</v>
      </c>
      <c r="C35" s="78">
        <v>0</v>
      </c>
      <c r="D35" s="77">
        <f>6.86+10.4</f>
        <v>17.26</v>
      </c>
      <c r="E35" s="78">
        <v>2</v>
      </c>
      <c r="F35" s="77">
        <v>0</v>
      </c>
      <c r="G35" s="78">
        <v>0</v>
      </c>
      <c r="H35" s="79">
        <f t="shared" si="0"/>
        <v>17.26</v>
      </c>
      <c r="I35" s="81">
        <f t="shared" si="1"/>
        <v>2</v>
      </c>
    </row>
    <row r="36" s="3" customFormat="1" ht="37.5" customHeight="1" spans="1:13">
      <c r="A36" s="53" t="s">
        <v>13</v>
      </c>
      <c r="B36" s="80">
        <f t="shared" ref="B36:I36" si="2">SUM(B5:B35)</f>
        <v>0</v>
      </c>
      <c r="C36" s="80">
        <f t="shared" si="2"/>
        <v>0</v>
      </c>
      <c r="D36" s="80">
        <f t="shared" si="2"/>
        <v>453.3</v>
      </c>
      <c r="E36" s="78">
        <f t="shared" si="2"/>
        <v>58</v>
      </c>
      <c r="F36" s="80">
        <f t="shared" si="2"/>
        <v>0</v>
      </c>
      <c r="G36" s="80">
        <f t="shared" si="2"/>
        <v>0</v>
      </c>
      <c r="H36" s="80">
        <f t="shared" si="2"/>
        <v>453.3</v>
      </c>
      <c r="I36" s="78">
        <f t="shared" si="2"/>
        <v>58</v>
      </c>
      <c r="K36" s="31"/>
      <c r="L36" s="31"/>
      <c r="M36" s="31"/>
    </row>
    <row r="37" s="4" customFormat="1" ht="33.75" customHeight="1" spans="1:11">
      <c r="A37" s="59" t="s">
        <v>51</v>
      </c>
      <c r="B37" s="61"/>
      <c r="C37" s="61"/>
      <c r="D37" s="61"/>
      <c r="E37" s="61"/>
      <c r="F37" s="61"/>
      <c r="G37" s="61"/>
      <c r="I37" s="68"/>
      <c r="K37" s="44"/>
    </row>
    <row r="38" s="1" customFormat="1" spans="1:7">
      <c r="A38" s="26"/>
      <c r="B38" s="26"/>
      <c r="C38" s="26"/>
      <c r="D38" s="26"/>
      <c r="E38" s="26"/>
      <c r="F38" s="26"/>
      <c r="G38" s="26"/>
    </row>
    <row r="39" spans="1:11">
      <c r="A39" s="25"/>
      <c r="B39" s="25"/>
      <c r="C39" s="25"/>
      <c r="D39" s="25"/>
      <c r="E39" s="25"/>
      <c r="F39" s="25"/>
      <c r="G39" s="25"/>
      <c r="H39" s="37"/>
      <c r="K39" s="37"/>
    </row>
    <row r="40" spans="1:9">
      <c r="A40" s="26"/>
      <c r="B40" s="26"/>
      <c r="C40" s="26"/>
      <c r="D40" s="26"/>
      <c r="E40" s="26"/>
      <c r="F40" s="26"/>
      <c r="G40" s="26"/>
      <c r="H40" s="37"/>
      <c r="I40" s="37"/>
    </row>
    <row r="41" spans="1:8">
      <c r="A41" s="26"/>
      <c r="B41" s="26"/>
      <c r="C41" s="26"/>
      <c r="D41" s="26"/>
      <c r="E41" s="26"/>
      <c r="F41" s="26"/>
      <c r="G41" s="26"/>
      <c r="H41" s="38"/>
    </row>
    <row r="42" spans="1:7">
      <c r="A42" s="26"/>
      <c r="B42" s="26"/>
      <c r="C42" s="26"/>
      <c r="D42" s="26"/>
      <c r="E42" s="26"/>
      <c r="F42" s="26"/>
      <c r="G42" s="26"/>
    </row>
    <row r="44" spans="8:9">
      <c r="H44" s="37"/>
      <c r="I44" s="37"/>
    </row>
    <row r="46" spans="8:8">
      <c r="H46" s="37"/>
    </row>
  </sheetData>
  <mergeCells count="7">
    <mergeCell ref="A1:I1"/>
    <mergeCell ref="B2:I2"/>
    <mergeCell ref="B3:C3"/>
    <mergeCell ref="D3:E3"/>
    <mergeCell ref="F3:G3"/>
    <mergeCell ref="H3:I3"/>
    <mergeCell ref="A3:A4"/>
  </mergeCells>
  <pageMargins left="0.47" right="0.22" top="0.23" bottom="0.23" header="0.24" footer="0.2"/>
  <pageSetup paperSize="9" scale="75" orientation="portrait" horizontalDpi="600" verticalDpi="600"/>
  <headerFooter alignWithMargins="0" scaleWithDoc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1"/>
  </sheetPr>
  <dimension ref="A1:AG48"/>
  <sheetViews>
    <sheetView zoomScale="70" zoomScaleNormal="70" zoomScaleSheetLayoutView="60" workbookViewId="0">
      <pane xSplit="1" ySplit="4" topLeftCell="B19" activePane="bottomRight" state="frozen"/>
      <selection/>
      <selection pane="topRight"/>
      <selection pane="bottomLeft"/>
      <selection pane="bottomRight" activeCell="AB25" sqref="AB25:AC35"/>
    </sheetView>
  </sheetViews>
  <sheetFormatPr defaultColWidth="9" defaultRowHeight="14.25"/>
  <cols>
    <col min="1" max="1" width="5.375" style="1" customWidth="1"/>
    <col min="2" max="2" width="12.375" style="1" customWidth="1"/>
    <col min="3" max="3" width="6" style="1" customWidth="1"/>
    <col min="4" max="4" width="12.25" style="1" customWidth="1"/>
    <col min="5" max="5" width="5.375" style="1" customWidth="1"/>
    <col min="6" max="6" width="9.625" style="1" customWidth="1"/>
    <col min="7" max="7" width="6.25" style="1" customWidth="1"/>
    <col min="8" max="8" width="10.125" style="1" customWidth="1"/>
    <col min="9" max="9" width="5.75" style="1" customWidth="1"/>
    <col min="10" max="10" width="9.25" style="1" customWidth="1"/>
    <col min="11" max="11" width="6.5" style="1" customWidth="1"/>
    <col min="12" max="12" width="9.875" style="1" customWidth="1"/>
    <col min="13" max="13" width="6.625" style="1" customWidth="1"/>
    <col min="14" max="14" width="9.625" style="1" customWidth="1"/>
    <col min="15" max="15" width="6.625" style="1" customWidth="1"/>
    <col min="16" max="16" width="9.75" style="1" customWidth="1"/>
    <col min="17" max="17" width="6.625" style="1" customWidth="1"/>
    <col min="18" max="18" width="11" style="1" customWidth="1"/>
    <col min="19" max="19" width="6" style="1" customWidth="1"/>
    <col min="20" max="20" width="8.375" style="1" customWidth="1"/>
    <col min="21" max="21" width="5.875" style="1" customWidth="1"/>
    <col min="22" max="22" width="9.375" style="1" customWidth="1"/>
    <col min="23" max="23" width="5.75" style="1" customWidth="1"/>
    <col min="24" max="24" width="9.125" style="1" customWidth="1"/>
    <col min="25" max="25" width="5" style="1" customWidth="1"/>
    <col min="26" max="26" width="9.875" style="1" customWidth="1"/>
    <col min="27" max="27" width="5.5" style="1" customWidth="1"/>
    <col min="28" max="28" width="13.75" style="1" customWidth="1"/>
    <col min="29" max="29" width="11.125" style="1" customWidth="1"/>
    <col min="30" max="30" width="9" style="1"/>
    <col min="31" max="31" width="13" style="1"/>
    <col min="32" max="32" width="9" style="1"/>
    <col min="33" max="33" width="11.625" style="1"/>
    <col min="34" max="16384" width="9" style="1"/>
  </cols>
  <sheetData>
    <row r="1" s="1" customFormat="1" ht="35.25" customHeight="1" spans="1:29">
      <c r="A1" s="45" t="s">
        <v>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</row>
    <row r="2" s="2" customFormat="1" ht="23.25" customHeight="1" spans="1:29">
      <c r="A2" s="6">
        <v>1000</v>
      </c>
      <c r="B2" s="6"/>
      <c r="C2" s="6"/>
      <c r="D2" s="46" t="s">
        <v>1</v>
      </c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</row>
    <row r="3" s="2" customFormat="1" ht="37.5" customHeight="1" spans="1:29">
      <c r="A3" s="47" t="s">
        <v>2</v>
      </c>
      <c r="B3" s="48" t="s">
        <v>52</v>
      </c>
      <c r="C3" s="49"/>
      <c r="D3" s="48" t="s">
        <v>53</v>
      </c>
      <c r="E3" s="49"/>
      <c r="F3" s="48" t="s">
        <v>54</v>
      </c>
      <c r="G3" s="49"/>
      <c r="H3" s="48" t="s">
        <v>55</v>
      </c>
      <c r="I3" s="49"/>
      <c r="J3" s="48" t="s">
        <v>56</v>
      </c>
      <c r="K3" s="49"/>
      <c r="L3" s="48" t="s">
        <v>57</v>
      </c>
      <c r="M3" s="49"/>
      <c r="N3" s="48" t="s">
        <v>58</v>
      </c>
      <c r="O3" s="49"/>
      <c r="P3" s="48" t="s">
        <v>59</v>
      </c>
      <c r="Q3" s="49"/>
      <c r="R3" s="48" t="s">
        <v>60</v>
      </c>
      <c r="S3" s="49"/>
      <c r="T3" s="48" t="s">
        <v>61</v>
      </c>
      <c r="U3" s="49"/>
      <c r="V3" s="48" t="s">
        <v>62</v>
      </c>
      <c r="W3" s="49"/>
      <c r="X3" s="48" t="s">
        <v>63</v>
      </c>
      <c r="Y3" s="49"/>
      <c r="Z3" s="48" t="s">
        <v>64</v>
      </c>
      <c r="AA3" s="49"/>
      <c r="AB3" s="64" t="s">
        <v>13</v>
      </c>
      <c r="AC3" s="65"/>
    </row>
    <row r="4" s="2" customFormat="1" ht="24.75" customHeight="1" spans="1:29">
      <c r="A4" s="50"/>
      <c r="B4" s="50" t="s">
        <v>14</v>
      </c>
      <c r="C4" s="50" t="s">
        <v>15</v>
      </c>
      <c r="D4" s="50" t="s">
        <v>14</v>
      </c>
      <c r="E4" s="50" t="s">
        <v>15</v>
      </c>
      <c r="F4" s="51" t="s">
        <v>14</v>
      </c>
      <c r="G4" s="51" t="s">
        <v>15</v>
      </c>
      <c r="H4" s="51" t="s">
        <v>14</v>
      </c>
      <c r="I4" s="51" t="s">
        <v>15</v>
      </c>
      <c r="J4" s="51" t="s">
        <v>14</v>
      </c>
      <c r="K4" s="51" t="s">
        <v>15</v>
      </c>
      <c r="L4" s="51" t="s">
        <v>14</v>
      </c>
      <c r="M4" s="51" t="s">
        <v>15</v>
      </c>
      <c r="N4" s="51" t="s">
        <v>14</v>
      </c>
      <c r="O4" s="51" t="s">
        <v>15</v>
      </c>
      <c r="P4" s="51" t="s">
        <v>14</v>
      </c>
      <c r="Q4" s="51" t="s">
        <v>15</v>
      </c>
      <c r="R4" s="51" t="s">
        <v>14</v>
      </c>
      <c r="S4" s="51" t="s">
        <v>15</v>
      </c>
      <c r="T4" s="51" t="s">
        <v>14</v>
      </c>
      <c r="U4" s="51" t="s">
        <v>15</v>
      </c>
      <c r="V4" s="51" t="s">
        <v>14</v>
      </c>
      <c r="W4" s="51" t="s">
        <v>15</v>
      </c>
      <c r="X4" s="51" t="s">
        <v>14</v>
      </c>
      <c r="Y4" s="51" t="s">
        <v>15</v>
      </c>
      <c r="Z4" s="51" t="s">
        <v>14</v>
      </c>
      <c r="AA4" s="51" t="s">
        <v>15</v>
      </c>
      <c r="AB4" s="51" t="s">
        <v>14</v>
      </c>
      <c r="AC4" s="51" t="s">
        <v>15</v>
      </c>
    </row>
    <row r="5" s="3" customFormat="1" ht="25.5" customHeight="1" spans="1:29">
      <c r="A5" s="52" t="s">
        <v>16</v>
      </c>
      <c r="B5" s="14">
        <f>5.72+5.94</f>
        <v>11.66</v>
      </c>
      <c r="C5" s="15">
        <v>2</v>
      </c>
      <c r="D5" s="14">
        <v>8.54</v>
      </c>
      <c r="E5" s="15">
        <v>1</v>
      </c>
      <c r="F5" s="14">
        <v>6.58</v>
      </c>
      <c r="G5" s="15">
        <v>1</v>
      </c>
      <c r="H5" s="14">
        <v>0</v>
      </c>
      <c r="I5" s="15">
        <v>0</v>
      </c>
      <c r="J5" s="14">
        <v>0</v>
      </c>
      <c r="K5" s="15">
        <v>0</v>
      </c>
      <c r="L5" s="14">
        <v>8.52</v>
      </c>
      <c r="M5" s="15">
        <v>1</v>
      </c>
      <c r="N5" s="14">
        <v>7.16</v>
      </c>
      <c r="O5" s="15">
        <v>1</v>
      </c>
      <c r="P5" s="14">
        <v>0</v>
      </c>
      <c r="Q5" s="15">
        <v>0</v>
      </c>
      <c r="R5" s="14">
        <v>7.2</v>
      </c>
      <c r="S5" s="15">
        <v>1</v>
      </c>
      <c r="T5" s="14">
        <v>0</v>
      </c>
      <c r="U5" s="15">
        <v>0</v>
      </c>
      <c r="V5" s="14">
        <f>3.2</f>
        <v>3.2</v>
      </c>
      <c r="W5" s="15">
        <v>1</v>
      </c>
      <c r="X5" s="14">
        <v>0</v>
      </c>
      <c r="Y5" s="15">
        <v>0</v>
      </c>
      <c r="Z5" s="14">
        <v>3.38</v>
      </c>
      <c r="AA5" s="15">
        <v>1</v>
      </c>
      <c r="AB5" s="30">
        <f t="shared" ref="AB5:AB35" si="0">B5+D5+F5+H5+J5+L5+N5+P5+R5+T5+V5+X5+Z5</f>
        <v>56.24</v>
      </c>
      <c r="AC5" s="15">
        <f t="shared" ref="AC5:AC35" si="1">C5+E5+G5+I5+K5+M5+O5+Q5+S5+U5+W5+Y5+AA5</f>
        <v>9</v>
      </c>
    </row>
    <row r="6" s="3" customFormat="1" ht="25.5" customHeight="1" spans="1:29">
      <c r="A6" s="52" t="s">
        <v>17</v>
      </c>
      <c r="B6" s="14">
        <f>4.84+5.78</f>
        <v>10.62</v>
      </c>
      <c r="C6" s="15">
        <v>2</v>
      </c>
      <c r="D6" s="14">
        <v>5.94</v>
      </c>
      <c r="E6" s="15">
        <v>1</v>
      </c>
      <c r="F6" s="14">
        <v>4.38</v>
      </c>
      <c r="G6" s="15">
        <v>1</v>
      </c>
      <c r="H6" s="14">
        <v>6.28</v>
      </c>
      <c r="I6" s="15">
        <v>1</v>
      </c>
      <c r="J6" s="14">
        <v>0</v>
      </c>
      <c r="K6" s="15">
        <v>0</v>
      </c>
      <c r="L6" s="14">
        <v>0</v>
      </c>
      <c r="M6" s="15">
        <v>0</v>
      </c>
      <c r="N6" s="14">
        <v>6.1</v>
      </c>
      <c r="O6" s="15">
        <v>1</v>
      </c>
      <c r="P6" s="14">
        <v>5.92</v>
      </c>
      <c r="Q6" s="15">
        <v>1</v>
      </c>
      <c r="R6" s="14">
        <v>7.08</v>
      </c>
      <c r="S6" s="15">
        <v>1</v>
      </c>
      <c r="T6" s="14">
        <v>0</v>
      </c>
      <c r="U6" s="15">
        <v>0</v>
      </c>
      <c r="V6" s="14">
        <v>2.44</v>
      </c>
      <c r="W6" s="15">
        <v>1</v>
      </c>
      <c r="X6" s="14">
        <v>0</v>
      </c>
      <c r="Y6" s="15">
        <v>0</v>
      </c>
      <c r="Z6" s="14">
        <v>3.34</v>
      </c>
      <c r="AA6" s="15">
        <v>1</v>
      </c>
      <c r="AB6" s="30">
        <f t="shared" si="0"/>
        <v>52.1</v>
      </c>
      <c r="AC6" s="15">
        <f t="shared" si="1"/>
        <v>10</v>
      </c>
    </row>
    <row r="7" s="3" customFormat="1" ht="25.5" customHeight="1" spans="1:29">
      <c r="A7" s="52" t="s">
        <v>18</v>
      </c>
      <c r="B7" s="14">
        <f>4.56+5.14</f>
        <v>9.7</v>
      </c>
      <c r="C7" s="15">
        <v>2</v>
      </c>
      <c r="D7" s="14">
        <v>0</v>
      </c>
      <c r="E7" s="15">
        <v>0</v>
      </c>
      <c r="F7" s="14">
        <f>5.5+2.62</f>
        <v>8.12</v>
      </c>
      <c r="G7" s="15">
        <v>2</v>
      </c>
      <c r="H7" s="14">
        <v>0</v>
      </c>
      <c r="I7" s="15">
        <v>0</v>
      </c>
      <c r="J7" s="14">
        <v>0</v>
      </c>
      <c r="K7" s="15">
        <v>0</v>
      </c>
      <c r="L7" s="14">
        <v>0</v>
      </c>
      <c r="M7" s="15">
        <v>0</v>
      </c>
      <c r="N7" s="14">
        <v>6.16</v>
      </c>
      <c r="O7" s="15">
        <v>1</v>
      </c>
      <c r="P7" s="14">
        <v>0</v>
      </c>
      <c r="Q7" s="15">
        <v>0</v>
      </c>
      <c r="R7" s="14">
        <v>6.36</v>
      </c>
      <c r="S7" s="15">
        <v>1</v>
      </c>
      <c r="T7" s="14">
        <v>0</v>
      </c>
      <c r="U7" s="15">
        <v>0</v>
      </c>
      <c r="V7" s="14">
        <f>2.46+3.36</f>
        <v>5.82</v>
      </c>
      <c r="W7" s="15">
        <v>2</v>
      </c>
      <c r="X7" s="14">
        <v>0</v>
      </c>
      <c r="Y7" s="15">
        <v>0</v>
      </c>
      <c r="Z7" s="14">
        <v>3.48</v>
      </c>
      <c r="AA7" s="15">
        <v>1</v>
      </c>
      <c r="AB7" s="30">
        <f t="shared" si="0"/>
        <v>39.64</v>
      </c>
      <c r="AC7" s="15">
        <f t="shared" si="1"/>
        <v>9</v>
      </c>
    </row>
    <row r="8" s="3" customFormat="1" ht="25.5" customHeight="1" spans="1:29">
      <c r="A8" s="52" t="s">
        <v>19</v>
      </c>
      <c r="B8" s="14">
        <f>5.46+5.46</f>
        <v>10.92</v>
      </c>
      <c r="C8" s="15">
        <v>2</v>
      </c>
      <c r="D8" s="14">
        <f>6.56+3.54</f>
        <v>10.1</v>
      </c>
      <c r="E8" s="15">
        <v>2</v>
      </c>
      <c r="F8" s="14">
        <v>5.48</v>
      </c>
      <c r="G8" s="15">
        <v>1</v>
      </c>
      <c r="H8" s="14">
        <v>6.92</v>
      </c>
      <c r="I8" s="15">
        <v>1</v>
      </c>
      <c r="J8" s="14">
        <v>0</v>
      </c>
      <c r="K8" s="15">
        <v>0</v>
      </c>
      <c r="L8" s="14">
        <v>0</v>
      </c>
      <c r="M8" s="15">
        <v>0</v>
      </c>
      <c r="N8" s="14">
        <v>7.22</v>
      </c>
      <c r="O8" s="15">
        <v>1</v>
      </c>
      <c r="P8" s="14">
        <v>5.94</v>
      </c>
      <c r="Q8" s="15">
        <v>1</v>
      </c>
      <c r="R8" s="14">
        <v>6.7</v>
      </c>
      <c r="S8" s="15">
        <v>1</v>
      </c>
      <c r="T8" s="14">
        <v>0</v>
      </c>
      <c r="U8" s="15">
        <v>0</v>
      </c>
      <c r="V8" s="14">
        <f>3.16+2.94</f>
        <v>6.1</v>
      </c>
      <c r="W8" s="15">
        <v>2</v>
      </c>
      <c r="X8" s="14">
        <v>5.56</v>
      </c>
      <c r="Y8" s="15">
        <v>1</v>
      </c>
      <c r="Z8" s="14">
        <v>4.34</v>
      </c>
      <c r="AA8" s="15">
        <v>1</v>
      </c>
      <c r="AB8" s="30">
        <f t="shared" si="0"/>
        <v>69.28</v>
      </c>
      <c r="AC8" s="15">
        <f t="shared" si="1"/>
        <v>13</v>
      </c>
    </row>
    <row r="9" s="3" customFormat="1" ht="25.5" customHeight="1" spans="1:29">
      <c r="A9" s="52" t="s">
        <v>20</v>
      </c>
      <c r="B9" s="14">
        <v>4.18</v>
      </c>
      <c r="C9" s="15">
        <v>1</v>
      </c>
      <c r="D9" s="14">
        <v>4.16</v>
      </c>
      <c r="E9" s="15">
        <v>1</v>
      </c>
      <c r="F9" s="14">
        <f>6.66+2.5</f>
        <v>9.16</v>
      </c>
      <c r="G9" s="15">
        <v>2</v>
      </c>
      <c r="H9" s="14">
        <v>0</v>
      </c>
      <c r="I9" s="15">
        <v>0</v>
      </c>
      <c r="J9" s="14">
        <v>0</v>
      </c>
      <c r="K9" s="15">
        <v>0</v>
      </c>
      <c r="L9" s="14">
        <v>9.1</v>
      </c>
      <c r="M9" s="15">
        <v>1</v>
      </c>
      <c r="N9" s="14">
        <v>7.34</v>
      </c>
      <c r="O9" s="15">
        <v>1</v>
      </c>
      <c r="P9" s="14">
        <v>5.78</v>
      </c>
      <c r="Q9" s="15">
        <v>1</v>
      </c>
      <c r="R9" s="14">
        <v>7.2</v>
      </c>
      <c r="S9" s="15">
        <v>1</v>
      </c>
      <c r="T9" s="14">
        <v>0</v>
      </c>
      <c r="U9" s="15">
        <v>0</v>
      </c>
      <c r="V9" s="14">
        <f>2.9+3.54</f>
        <v>6.44</v>
      </c>
      <c r="W9" s="15">
        <v>2</v>
      </c>
      <c r="X9" s="14">
        <v>0</v>
      </c>
      <c r="Y9" s="15">
        <v>0</v>
      </c>
      <c r="Z9" s="14">
        <v>3.7</v>
      </c>
      <c r="AA9" s="15">
        <v>1</v>
      </c>
      <c r="AB9" s="30">
        <f t="shared" si="0"/>
        <v>57.06</v>
      </c>
      <c r="AC9" s="15">
        <f t="shared" si="1"/>
        <v>11</v>
      </c>
    </row>
    <row r="10" s="3" customFormat="1" ht="25.5" customHeight="1" spans="1:29">
      <c r="A10" s="52" t="s">
        <v>21</v>
      </c>
      <c r="B10" s="14">
        <f>4.76+3.7</f>
        <v>8.46</v>
      </c>
      <c r="C10" s="15">
        <v>2</v>
      </c>
      <c r="D10" s="14">
        <v>4.64</v>
      </c>
      <c r="E10" s="15">
        <v>1</v>
      </c>
      <c r="F10" s="14">
        <v>6.26</v>
      </c>
      <c r="G10" s="15">
        <v>1</v>
      </c>
      <c r="H10" s="14">
        <v>5.68</v>
      </c>
      <c r="I10" s="15">
        <v>1</v>
      </c>
      <c r="J10" s="14">
        <v>0</v>
      </c>
      <c r="K10" s="15">
        <v>0</v>
      </c>
      <c r="L10" s="14">
        <v>0</v>
      </c>
      <c r="M10" s="15">
        <v>0</v>
      </c>
      <c r="N10" s="14">
        <v>6.94</v>
      </c>
      <c r="O10" s="15">
        <v>1</v>
      </c>
      <c r="P10" s="14">
        <v>5.18</v>
      </c>
      <c r="Q10" s="15">
        <v>1</v>
      </c>
      <c r="R10" s="14">
        <v>7.1</v>
      </c>
      <c r="S10" s="15">
        <v>1</v>
      </c>
      <c r="T10" s="14">
        <v>0</v>
      </c>
      <c r="U10" s="15">
        <v>0</v>
      </c>
      <c r="V10" s="14">
        <f>3.02+2.18</f>
        <v>5.2</v>
      </c>
      <c r="W10" s="15">
        <v>2</v>
      </c>
      <c r="X10" s="14">
        <v>0</v>
      </c>
      <c r="Y10" s="15">
        <v>0</v>
      </c>
      <c r="Z10" s="14">
        <v>3.34</v>
      </c>
      <c r="AA10" s="15">
        <v>1</v>
      </c>
      <c r="AB10" s="30">
        <f t="shared" si="0"/>
        <v>52.8</v>
      </c>
      <c r="AC10" s="15">
        <f t="shared" si="1"/>
        <v>11</v>
      </c>
    </row>
    <row r="11" s="3" customFormat="1" ht="25.5" customHeight="1" spans="1:29">
      <c r="A11" s="52" t="s">
        <v>22</v>
      </c>
      <c r="B11" s="14">
        <f>5.34+4.18</f>
        <v>9.52</v>
      </c>
      <c r="C11" s="15">
        <v>2</v>
      </c>
      <c r="D11" s="14">
        <v>0</v>
      </c>
      <c r="E11" s="15">
        <v>0</v>
      </c>
      <c r="F11" s="14">
        <v>6.44</v>
      </c>
      <c r="G11" s="15">
        <v>1</v>
      </c>
      <c r="H11" s="14">
        <v>0</v>
      </c>
      <c r="I11" s="15">
        <v>0</v>
      </c>
      <c r="J11" s="14">
        <v>0</v>
      </c>
      <c r="K11" s="15">
        <v>0</v>
      </c>
      <c r="L11" s="14">
        <v>0</v>
      </c>
      <c r="M11" s="15">
        <v>0</v>
      </c>
      <c r="N11" s="14">
        <v>6.98</v>
      </c>
      <c r="O11" s="15">
        <v>1</v>
      </c>
      <c r="P11" s="14">
        <v>2.98</v>
      </c>
      <c r="Q11" s="15">
        <v>1</v>
      </c>
      <c r="R11" s="14">
        <v>5.34</v>
      </c>
      <c r="S11" s="15">
        <v>1</v>
      </c>
      <c r="T11" s="14">
        <v>0</v>
      </c>
      <c r="U11" s="15">
        <v>0</v>
      </c>
      <c r="V11" s="14">
        <v>2.74</v>
      </c>
      <c r="W11" s="15">
        <v>1</v>
      </c>
      <c r="X11" s="14">
        <v>6.8</v>
      </c>
      <c r="Y11" s="15">
        <v>1</v>
      </c>
      <c r="Z11" s="14">
        <v>4.12</v>
      </c>
      <c r="AA11" s="15">
        <v>1</v>
      </c>
      <c r="AB11" s="30">
        <f t="shared" si="0"/>
        <v>44.92</v>
      </c>
      <c r="AC11" s="15">
        <f t="shared" si="1"/>
        <v>9</v>
      </c>
    </row>
    <row r="12" s="3" customFormat="1" ht="25.5" customHeight="1" spans="1:29">
      <c r="A12" s="52" t="s">
        <v>23</v>
      </c>
      <c r="B12" s="14">
        <f>6.18+5.5</f>
        <v>11.68</v>
      </c>
      <c r="C12" s="15">
        <v>2</v>
      </c>
      <c r="D12" s="14">
        <v>7.68</v>
      </c>
      <c r="E12" s="15">
        <v>1</v>
      </c>
      <c r="F12" s="14">
        <v>5.96</v>
      </c>
      <c r="G12" s="15">
        <v>1</v>
      </c>
      <c r="H12" s="14">
        <v>0</v>
      </c>
      <c r="I12" s="15">
        <v>0</v>
      </c>
      <c r="J12" s="14">
        <v>0</v>
      </c>
      <c r="K12" s="15">
        <v>0</v>
      </c>
      <c r="L12" s="14">
        <v>0</v>
      </c>
      <c r="M12" s="15">
        <v>0</v>
      </c>
      <c r="N12" s="14">
        <v>5.88</v>
      </c>
      <c r="O12" s="15">
        <v>1</v>
      </c>
      <c r="P12" s="14">
        <v>4.1</v>
      </c>
      <c r="Q12" s="15">
        <v>1</v>
      </c>
      <c r="R12" s="14">
        <v>6.9</v>
      </c>
      <c r="S12" s="15">
        <v>1</v>
      </c>
      <c r="T12" s="14">
        <v>0</v>
      </c>
      <c r="U12" s="15">
        <v>0</v>
      </c>
      <c r="V12" s="14">
        <v>3.18</v>
      </c>
      <c r="W12" s="15">
        <v>1</v>
      </c>
      <c r="X12" s="14">
        <v>0</v>
      </c>
      <c r="Y12" s="15">
        <v>0</v>
      </c>
      <c r="Z12" s="14">
        <v>2.94</v>
      </c>
      <c r="AA12" s="15">
        <v>1</v>
      </c>
      <c r="AB12" s="30">
        <f t="shared" si="0"/>
        <v>48.32</v>
      </c>
      <c r="AC12" s="15">
        <f t="shared" si="1"/>
        <v>9</v>
      </c>
    </row>
    <row r="13" s="3" customFormat="1" ht="25.5" customHeight="1" spans="1:29">
      <c r="A13" s="52" t="s">
        <v>24</v>
      </c>
      <c r="B13" s="14">
        <f>4.98+5.3</f>
        <v>10.28</v>
      </c>
      <c r="C13" s="15">
        <v>2</v>
      </c>
      <c r="D13" s="14">
        <v>5.62</v>
      </c>
      <c r="E13" s="15">
        <v>1</v>
      </c>
      <c r="F13" s="14">
        <v>5.5</v>
      </c>
      <c r="G13" s="15">
        <v>1</v>
      </c>
      <c r="H13" s="14">
        <v>6.24</v>
      </c>
      <c r="I13" s="15">
        <v>1</v>
      </c>
      <c r="J13" s="14">
        <v>0</v>
      </c>
      <c r="K13" s="15">
        <v>0</v>
      </c>
      <c r="L13" s="14">
        <v>8.54</v>
      </c>
      <c r="M13" s="15">
        <v>1</v>
      </c>
      <c r="N13" s="14">
        <v>5.2</v>
      </c>
      <c r="O13" s="15">
        <v>1</v>
      </c>
      <c r="P13" s="14">
        <v>0</v>
      </c>
      <c r="Q13" s="15">
        <v>0</v>
      </c>
      <c r="R13" s="14">
        <v>7.16</v>
      </c>
      <c r="S13" s="15">
        <v>1</v>
      </c>
      <c r="T13" s="14">
        <v>0</v>
      </c>
      <c r="U13" s="15">
        <v>0</v>
      </c>
      <c r="V13" s="14">
        <v>2.7</v>
      </c>
      <c r="W13" s="15">
        <v>1</v>
      </c>
      <c r="X13" s="14">
        <v>0</v>
      </c>
      <c r="Y13" s="15">
        <v>0</v>
      </c>
      <c r="Z13" s="14">
        <v>3.38</v>
      </c>
      <c r="AA13" s="15">
        <v>1</v>
      </c>
      <c r="AB13" s="30">
        <f t="shared" si="0"/>
        <v>54.62</v>
      </c>
      <c r="AC13" s="15">
        <f t="shared" si="1"/>
        <v>10</v>
      </c>
    </row>
    <row r="14" s="3" customFormat="1" ht="25.5" customHeight="1" spans="1:29">
      <c r="A14" s="52" t="s">
        <v>25</v>
      </c>
      <c r="B14" s="14">
        <f>4.84+3.58</f>
        <v>8.42</v>
      </c>
      <c r="C14" s="15">
        <v>2</v>
      </c>
      <c r="D14" s="14">
        <v>5.52</v>
      </c>
      <c r="E14" s="15">
        <v>1</v>
      </c>
      <c r="F14" s="14">
        <f>4.4+2.7</f>
        <v>7.1</v>
      </c>
      <c r="G14" s="15">
        <v>2</v>
      </c>
      <c r="H14" s="14">
        <v>0</v>
      </c>
      <c r="I14" s="15">
        <v>0</v>
      </c>
      <c r="J14" s="14">
        <v>0</v>
      </c>
      <c r="K14" s="15">
        <v>0</v>
      </c>
      <c r="L14" s="14">
        <v>0</v>
      </c>
      <c r="M14" s="15">
        <v>0</v>
      </c>
      <c r="N14" s="14">
        <v>6.12</v>
      </c>
      <c r="O14" s="15">
        <v>1</v>
      </c>
      <c r="P14" s="14">
        <v>5.4</v>
      </c>
      <c r="Q14" s="15">
        <v>1</v>
      </c>
      <c r="R14" s="14">
        <v>7</v>
      </c>
      <c r="S14" s="15">
        <v>1</v>
      </c>
      <c r="T14" s="14">
        <v>0</v>
      </c>
      <c r="U14" s="15">
        <v>0</v>
      </c>
      <c r="V14" s="14">
        <f>3.02+3.04</f>
        <v>6.06</v>
      </c>
      <c r="W14" s="15">
        <v>2</v>
      </c>
      <c r="X14" s="14">
        <v>0</v>
      </c>
      <c r="Y14" s="15">
        <v>0</v>
      </c>
      <c r="Z14" s="14">
        <v>2.98</v>
      </c>
      <c r="AA14" s="15">
        <v>1</v>
      </c>
      <c r="AB14" s="30">
        <f t="shared" si="0"/>
        <v>48.6</v>
      </c>
      <c r="AC14" s="15">
        <f t="shared" si="1"/>
        <v>11</v>
      </c>
    </row>
    <row r="15" s="3" customFormat="1" ht="25.5" customHeight="1" spans="1:29">
      <c r="A15" s="52" t="s">
        <v>26</v>
      </c>
      <c r="B15" s="14">
        <f>4.38+3.42</f>
        <v>7.8</v>
      </c>
      <c r="C15" s="15">
        <v>2</v>
      </c>
      <c r="D15" s="14">
        <v>5.4</v>
      </c>
      <c r="E15" s="15">
        <v>1</v>
      </c>
      <c r="F15" s="14">
        <v>6.18</v>
      </c>
      <c r="G15" s="15">
        <v>1</v>
      </c>
      <c r="H15" s="14">
        <v>6.32</v>
      </c>
      <c r="I15" s="15">
        <v>1</v>
      </c>
      <c r="J15" s="14">
        <v>0</v>
      </c>
      <c r="K15" s="15">
        <v>0</v>
      </c>
      <c r="L15" s="14">
        <v>0</v>
      </c>
      <c r="M15" s="15">
        <v>0</v>
      </c>
      <c r="N15" s="14">
        <v>5.6</v>
      </c>
      <c r="O15" s="15">
        <v>1</v>
      </c>
      <c r="P15" s="14">
        <v>5.34</v>
      </c>
      <c r="Q15" s="15">
        <v>1</v>
      </c>
      <c r="R15" s="14">
        <v>7.62</v>
      </c>
      <c r="S15" s="15">
        <v>1</v>
      </c>
      <c r="T15" s="14">
        <v>0</v>
      </c>
      <c r="U15" s="15">
        <v>0</v>
      </c>
      <c r="V15" s="14">
        <f>2.68+3.76</f>
        <v>6.44</v>
      </c>
      <c r="W15" s="15">
        <v>2</v>
      </c>
      <c r="X15" s="14">
        <v>6.32</v>
      </c>
      <c r="Y15" s="15">
        <v>1</v>
      </c>
      <c r="Z15" s="14">
        <v>4.02</v>
      </c>
      <c r="AA15" s="15">
        <v>1</v>
      </c>
      <c r="AB15" s="30">
        <f t="shared" si="0"/>
        <v>61.04</v>
      </c>
      <c r="AC15" s="15">
        <f t="shared" si="1"/>
        <v>12</v>
      </c>
    </row>
    <row r="16" s="3" customFormat="1" ht="25.5" customHeight="1" spans="1:29">
      <c r="A16" s="52" t="s">
        <v>27</v>
      </c>
      <c r="B16" s="14">
        <f>4.96+3.44</f>
        <v>8.4</v>
      </c>
      <c r="C16" s="15">
        <v>2</v>
      </c>
      <c r="D16" s="14">
        <v>4.62</v>
      </c>
      <c r="E16" s="15">
        <v>1</v>
      </c>
      <c r="F16" s="14">
        <f>6.12+2.86</f>
        <v>8.98</v>
      </c>
      <c r="G16" s="15">
        <v>2</v>
      </c>
      <c r="H16" s="14">
        <v>0</v>
      </c>
      <c r="I16" s="15">
        <v>0</v>
      </c>
      <c r="J16" s="14">
        <v>0</v>
      </c>
      <c r="K16" s="15">
        <v>0</v>
      </c>
      <c r="L16" s="14">
        <v>9.26</v>
      </c>
      <c r="M16" s="15">
        <v>1</v>
      </c>
      <c r="N16" s="14">
        <v>6.54</v>
      </c>
      <c r="O16" s="15">
        <v>1</v>
      </c>
      <c r="P16" s="14">
        <v>4.66</v>
      </c>
      <c r="Q16" s="15">
        <v>1</v>
      </c>
      <c r="R16" s="14">
        <v>7.5</v>
      </c>
      <c r="S16" s="15">
        <v>1</v>
      </c>
      <c r="T16" s="14">
        <v>0</v>
      </c>
      <c r="U16" s="15">
        <v>0</v>
      </c>
      <c r="V16" s="14">
        <f>2.7+3.1</f>
        <v>5.8</v>
      </c>
      <c r="W16" s="15">
        <v>2</v>
      </c>
      <c r="X16" s="14">
        <v>0</v>
      </c>
      <c r="Y16" s="15">
        <v>0</v>
      </c>
      <c r="Z16" s="14">
        <v>4.18</v>
      </c>
      <c r="AA16" s="15">
        <v>1</v>
      </c>
      <c r="AB16" s="30">
        <f t="shared" si="0"/>
        <v>59.94</v>
      </c>
      <c r="AC16" s="15">
        <f t="shared" si="1"/>
        <v>12</v>
      </c>
    </row>
    <row r="17" s="3" customFormat="1" ht="25.5" customHeight="1" spans="1:29">
      <c r="A17" s="52" t="s">
        <v>28</v>
      </c>
      <c r="B17" s="14">
        <f>4.6+3.06</f>
        <v>7.66</v>
      </c>
      <c r="C17" s="15">
        <v>2</v>
      </c>
      <c r="D17" s="14">
        <v>3.44</v>
      </c>
      <c r="E17" s="15">
        <v>1</v>
      </c>
      <c r="F17" s="14">
        <v>5.84</v>
      </c>
      <c r="G17" s="15">
        <v>1</v>
      </c>
      <c r="H17" s="14">
        <v>5.94</v>
      </c>
      <c r="I17" s="15">
        <v>1</v>
      </c>
      <c r="J17" s="14">
        <v>0</v>
      </c>
      <c r="K17" s="15">
        <v>0</v>
      </c>
      <c r="L17" s="14">
        <v>0</v>
      </c>
      <c r="M17" s="15">
        <v>0</v>
      </c>
      <c r="N17" s="14">
        <v>6.08</v>
      </c>
      <c r="O17" s="15">
        <v>1</v>
      </c>
      <c r="P17" s="14">
        <v>0</v>
      </c>
      <c r="Q17" s="15">
        <v>0</v>
      </c>
      <c r="R17" s="14">
        <v>7.38</v>
      </c>
      <c r="S17" s="15">
        <v>1</v>
      </c>
      <c r="T17" s="14">
        <v>0</v>
      </c>
      <c r="U17" s="15">
        <v>0</v>
      </c>
      <c r="V17" s="14">
        <f>3.06+2.48</f>
        <v>5.54</v>
      </c>
      <c r="W17" s="15">
        <v>2</v>
      </c>
      <c r="X17" s="14">
        <v>0</v>
      </c>
      <c r="Y17" s="15">
        <v>0</v>
      </c>
      <c r="Z17" s="14">
        <v>3.38</v>
      </c>
      <c r="AA17" s="15">
        <v>1</v>
      </c>
      <c r="AB17" s="30">
        <f t="shared" si="0"/>
        <v>45.26</v>
      </c>
      <c r="AC17" s="15">
        <f t="shared" si="1"/>
        <v>10</v>
      </c>
    </row>
    <row r="18" s="3" customFormat="1" ht="25.5" customHeight="1" spans="1:29">
      <c r="A18" s="52" t="s">
        <v>29</v>
      </c>
      <c r="B18" s="14">
        <f>5.26+4.58</f>
        <v>9.84</v>
      </c>
      <c r="C18" s="15">
        <v>2</v>
      </c>
      <c r="D18" s="14">
        <v>6.18</v>
      </c>
      <c r="E18" s="15">
        <v>1</v>
      </c>
      <c r="F18" s="14">
        <v>6.48</v>
      </c>
      <c r="G18" s="15">
        <v>1</v>
      </c>
      <c r="H18" s="14">
        <v>0</v>
      </c>
      <c r="I18" s="15">
        <v>0</v>
      </c>
      <c r="J18" s="14">
        <v>0</v>
      </c>
      <c r="K18" s="15">
        <v>0</v>
      </c>
      <c r="L18" s="14">
        <v>0</v>
      </c>
      <c r="M18" s="15">
        <v>0</v>
      </c>
      <c r="N18" s="14">
        <v>7.02</v>
      </c>
      <c r="O18" s="15">
        <v>1</v>
      </c>
      <c r="P18" s="14">
        <v>5.24</v>
      </c>
      <c r="Q18" s="15">
        <v>1</v>
      </c>
      <c r="R18" s="14">
        <v>6.9</v>
      </c>
      <c r="S18" s="15">
        <v>1</v>
      </c>
      <c r="T18" s="14">
        <v>0</v>
      </c>
      <c r="U18" s="15">
        <v>0</v>
      </c>
      <c r="V18" s="14">
        <v>2.88</v>
      </c>
      <c r="W18" s="15">
        <v>1</v>
      </c>
      <c r="X18" s="14">
        <v>6.72</v>
      </c>
      <c r="Y18" s="15">
        <v>1</v>
      </c>
      <c r="Z18" s="14">
        <v>2.94</v>
      </c>
      <c r="AA18" s="15">
        <v>1</v>
      </c>
      <c r="AB18" s="30">
        <f t="shared" si="0"/>
        <v>54.2</v>
      </c>
      <c r="AC18" s="15">
        <f t="shared" si="1"/>
        <v>10</v>
      </c>
    </row>
    <row r="19" s="3" customFormat="1" ht="25.5" customHeight="1" spans="1:29">
      <c r="A19" s="52" t="s">
        <v>30</v>
      </c>
      <c r="B19" s="14">
        <f>5.38+5.38</f>
        <v>10.76</v>
      </c>
      <c r="C19" s="15">
        <v>2</v>
      </c>
      <c r="D19" s="14">
        <v>0</v>
      </c>
      <c r="E19" s="15">
        <v>0</v>
      </c>
      <c r="F19" s="14">
        <v>6.02</v>
      </c>
      <c r="G19" s="15">
        <v>1</v>
      </c>
      <c r="H19" s="14">
        <v>0</v>
      </c>
      <c r="I19" s="15">
        <v>0</v>
      </c>
      <c r="J19" s="14">
        <v>0</v>
      </c>
      <c r="K19" s="15">
        <v>0</v>
      </c>
      <c r="L19" s="14">
        <v>0</v>
      </c>
      <c r="M19" s="15">
        <v>0</v>
      </c>
      <c r="N19" s="14">
        <v>5.5</v>
      </c>
      <c r="O19" s="15">
        <v>1</v>
      </c>
      <c r="P19" s="14">
        <v>6.46</v>
      </c>
      <c r="Q19" s="15">
        <v>1</v>
      </c>
      <c r="R19" s="14">
        <v>6.7</v>
      </c>
      <c r="S19" s="15">
        <v>1</v>
      </c>
      <c r="T19" s="14">
        <v>0</v>
      </c>
      <c r="U19" s="15">
        <v>0</v>
      </c>
      <c r="V19" s="14">
        <v>3.38</v>
      </c>
      <c r="W19" s="15">
        <v>1</v>
      </c>
      <c r="X19" s="14">
        <v>0</v>
      </c>
      <c r="Y19" s="15">
        <v>0</v>
      </c>
      <c r="Z19" s="14">
        <v>3.64</v>
      </c>
      <c r="AA19" s="15">
        <v>1</v>
      </c>
      <c r="AB19" s="30">
        <f t="shared" si="0"/>
        <v>42.46</v>
      </c>
      <c r="AC19" s="15">
        <f t="shared" si="1"/>
        <v>8</v>
      </c>
    </row>
    <row r="20" s="3" customFormat="1" ht="25.5" customHeight="1" spans="1:29">
      <c r="A20" s="52" t="s">
        <v>31</v>
      </c>
      <c r="B20" s="14">
        <f>4.66+5.38</f>
        <v>10.04</v>
      </c>
      <c r="C20" s="15">
        <v>2</v>
      </c>
      <c r="D20" s="14">
        <v>7.54</v>
      </c>
      <c r="E20" s="15">
        <v>1</v>
      </c>
      <c r="F20" s="14">
        <v>5.72</v>
      </c>
      <c r="G20" s="15">
        <v>1</v>
      </c>
      <c r="H20" s="14">
        <v>5.9</v>
      </c>
      <c r="I20" s="15">
        <v>1</v>
      </c>
      <c r="J20" s="14">
        <v>0</v>
      </c>
      <c r="K20" s="15">
        <v>0</v>
      </c>
      <c r="L20" s="14">
        <v>0</v>
      </c>
      <c r="M20" s="15">
        <v>0</v>
      </c>
      <c r="N20" s="14">
        <v>4.96</v>
      </c>
      <c r="O20" s="15">
        <v>1</v>
      </c>
      <c r="P20" s="14">
        <v>0</v>
      </c>
      <c r="Q20" s="15">
        <v>0</v>
      </c>
      <c r="R20" s="14">
        <v>6.04</v>
      </c>
      <c r="S20" s="15">
        <v>1</v>
      </c>
      <c r="T20" s="14">
        <v>0</v>
      </c>
      <c r="U20" s="15">
        <v>0</v>
      </c>
      <c r="V20" s="14">
        <v>3.24</v>
      </c>
      <c r="W20" s="15">
        <v>1</v>
      </c>
      <c r="X20" s="14">
        <v>0</v>
      </c>
      <c r="Y20" s="15">
        <v>0</v>
      </c>
      <c r="Z20" s="14">
        <v>2.98</v>
      </c>
      <c r="AA20" s="15">
        <v>1</v>
      </c>
      <c r="AB20" s="30">
        <f t="shared" si="0"/>
        <v>46.42</v>
      </c>
      <c r="AC20" s="15">
        <f t="shared" si="1"/>
        <v>9</v>
      </c>
    </row>
    <row r="21" s="3" customFormat="1" ht="25.5" customHeight="1" spans="1:29">
      <c r="A21" s="52" t="s">
        <v>32</v>
      </c>
      <c r="B21" s="14">
        <f>4.86+3.6</f>
        <v>8.46</v>
      </c>
      <c r="C21" s="15">
        <v>2</v>
      </c>
      <c r="D21" s="14">
        <v>5.8</v>
      </c>
      <c r="E21" s="15">
        <v>1</v>
      </c>
      <c r="F21" s="14">
        <f>4.96+2.96</f>
        <v>7.92</v>
      </c>
      <c r="G21" s="15">
        <v>2</v>
      </c>
      <c r="H21" s="14">
        <v>4.94</v>
      </c>
      <c r="I21" s="15">
        <v>1</v>
      </c>
      <c r="J21" s="14">
        <v>0</v>
      </c>
      <c r="K21" s="15">
        <v>0</v>
      </c>
      <c r="L21" s="14">
        <v>9.2</v>
      </c>
      <c r="M21" s="15">
        <v>1</v>
      </c>
      <c r="N21" s="14">
        <v>5.5</v>
      </c>
      <c r="O21" s="15">
        <v>1</v>
      </c>
      <c r="P21" s="14">
        <v>5.04</v>
      </c>
      <c r="Q21" s="15">
        <v>1</v>
      </c>
      <c r="R21" s="14">
        <v>5.28</v>
      </c>
      <c r="S21" s="15">
        <v>1</v>
      </c>
      <c r="T21" s="14">
        <v>0</v>
      </c>
      <c r="U21" s="15">
        <v>0</v>
      </c>
      <c r="V21" s="14">
        <f>2.66+3.16</f>
        <v>5.82</v>
      </c>
      <c r="W21" s="15">
        <v>2</v>
      </c>
      <c r="X21" s="14">
        <v>0</v>
      </c>
      <c r="Y21" s="15">
        <v>0</v>
      </c>
      <c r="Z21" s="14">
        <v>3.64</v>
      </c>
      <c r="AA21" s="15">
        <v>1</v>
      </c>
      <c r="AB21" s="30">
        <f t="shared" si="0"/>
        <v>61.6</v>
      </c>
      <c r="AC21" s="15">
        <f t="shared" si="1"/>
        <v>13</v>
      </c>
    </row>
    <row r="22" s="3" customFormat="1" ht="25.5" customHeight="1" spans="1:29">
      <c r="A22" s="52" t="s">
        <v>33</v>
      </c>
      <c r="B22" s="14">
        <f>4.96+3.26</f>
        <v>8.22</v>
      </c>
      <c r="C22" s="15">
        <v>2</v>
      </c>
      <c r="D22" s="14">
        <v>4.22</v>
      </c>
      <c r="E22" s="15">
        <v>1</v>
      </c>
      <c r="F22" s="14">
        <v>6.24</v>
      </c>
      <c r="G22" s="15">
        <v>1</v>
      </c>
      <c r="H22" s="14">
        <v>0</v>
      </c>
      <c r="I22" s="15">
        <v>0</v>
      </c>
      <c r="J22" s="14">
        <v>0</v>
      </c>
      <c r="K22" s="15">
        <v>0</v>
      </c>
      <c r="L22" s="14">
        <v>0</v>
      </c>
      <c r="M22" s="15">
        <v>0</v>
      </c>
      <c r="N22" s="14">
        <v>5.84</v>
      </c>
      <c r="O22" s="15">
        <v>1</v>
      </c>
      <c r="P22" s="14">
        <v>5.58</v>
      </c>
      <c r="Q22" s="15">
        <v>1</v>
      </c>
      <c r="R22" s="14">
        <v>7.24</v>
      </c>
      <c r="S22" s="15">
        <v>1</v>
      </c>
      <c r="T22" s="14">
        <v>0</v>
      </c>
      <c r="U22" s="15">
        <v>0</v>
      </c>
      <c r="V22" s="14">
        <f>2.76+3.14</f>
        <v>5.9</v>
      </c>
      <c r="W22" s="15">
        <v>2</v>
      </c>
      <c r="X22" s="14">
        <v>0</v>
      </c>
      <c r="Y22" s="15">
        <v>0</v>
      </c>
      <c r="Z22" s="14">
        <v>3.58</v>
      </c>
      <c r="AA22" s="15">
        <v>1</v>
      </c>
      <c r="AB22" s="30">
        <f t="shared" si="0"/>
        <v>46.82</v>
      </c>
      <c r="AC22" s="15">
        <f t="shared" si="1"/>
        <v>10</v>
      </c>
    </row>
    <row r="23" s="3" customFormat="1" ht="25.5" customHeight="1" spans="1:29">
      <c r="A23" s="52" t="s">
        <v>34</v>
      </c>
      <c r="B23" s="14">
        <f>4.9+3.6</f>
        <v>8.5</v>
      </c>
      <c r="C23" s="15">
        <v>2</v>
      </c>
      <c r="D23" s="14">
        <v>0</v>
      </c>
      <c r="E23" s="15">
        <v>0</v>
      </c>
      <c r="F23" s="14">
        <f>5.56+3.16</f>
        <v>8.72</v>
      </c>
      <c r="G23" s="15">
        <v>2</v>
      </c>
      <c r="H23" s="14">
        <v>4.96</v>
      </c>
      <c r="I23" s="15">
        <v>1</v>
      </c>
      <c r="J23" s="14">
        <v>0</v>
      </c>
      <c r="K23" s="15">
        <v>0</v>
      </c>
      <c r="L23" s="14">
        <v>0</v>
      </c>
      <c r="M23" s="15">
        <v>0</v>
      </c>
      <c r="N23" s="14">
        <v>6.18</v>
      </c>
      <c r="O23" s="15">
        <v>1</v>
      </c>
      <c r="P23" s="14">
        <v>0</v>
      </c>
      <c r="Q23" s="15">
        <v>0</v>
      </c>
      <c r="R23" s="14">
        <v>7.5</v>
      </c>
      <c r="S23" s="15">
        <v>1</v>
      </c>
      <c r="T23" s="14">
        <v>0</v>
      </c>
      <c r="U23" s="15">
        <v>0</v>
      </c>
      <c r="V23" s="14">
        <f>3.04+3.22</f>
        <v>6.26</v>
      </c>
      <c r="W23" s="15">
        <v>2</v>
      </c>
      <c r="X23" s="14">
        <v>0</v>
      </c>
      <c r="Y23" s="15">
        <v>0</v>
      </c>
      <c r="Z23" s="14">
        <v>3.46</v>
      </c>
      <c r="AA23" s="15">
        <v>1</v>
      </c>
      <c r="AB23" s="30">
        <f t="shared" si="0"/>
        <v>45.58</v>
      </c>
      <c r="AC23" s="15">
        <f t="shared" si="1"/>
        <v>10</v>
      </c>
    </row>
    <row r="24" s="3" customFormat="1" ht="25.5" customHeight="1" spans="1:29">
      <c r="A24" s="52" t="s">
        <v>35</v>
      </c>
      <c r="B24" s="14">
        <f>4.58+3.1</f>
        <v>7.68</v>
      </c>
      <c r="C24" s="15">
        <v>2</v>
      </c>
      <c r="D24" s="14">
        <f>5.88+2.86</f>
        <v>8.74</v>
      </c>
      <c r="E24" s="15">
        <v>2</v>
      </c>
      <c r="F24" s="14">
        <f>6.24+2.84</f>
        <v>9.08</v>
      </c>
      <c r="G24" s="15">
        <v>2</v>
      </c>
      <c r="H24" s="14">
        <v>0</v>
      </c>
      <c r="I24" s="15">
        <v>0</v>
      </c>
      <c r="J24" s="14">
        <v>0</v>
      </c>
      <c r="K24" s="15">
        <v>0</v>
      </c>
      <c r="L24" s="14">
        <v>0</v>
      </c>
      <c r="M24" s="15">
        <v>0</v>
      </c>
      <c r="N24" s="14">
        <v>6.9</v>
      </c>
      <c r="O24" s="15">
        <v>1</v>
      </c>
      <c r="P24" s="14">
        <v>5.84</v>
      </c>
      <c r="Q24" s="15">
        <v>1</v>
      </c>
      <c r="R24" s="14">
        <v>6.3</v>
      </c>
      <c r="S24" s="15">
        <v>1</v>
      </c>
      <c r="T24" s="14">
        <v>0</v>
      </c>
      <c r="U24" s="15">
        <v>0</v>
      </c>
      <c r="V24" s="14">
        <f>2.7+3.38</f>
        <v>6.08</v>
      </c>
      <c r="W24" s="15">
        <v>2</v>
      </c>
      <c r="X24" s="14">
        <v>0</v>
      </c>
      <c r="Y24" s="15">
        <v>0</v>
      </c>
      <c r="Z24" s="14">
        <v>3.74</v>
      </c>
      <c r="AA24" s="15">
        <v>1</v>
      </c>
      <c r="AB24" s="30">
        <f t="shared" si="0"/>
        <v>54.36</v>
      </c>
      <c r="AC24" s="15">
        <f t="shared" si="1"/>
        <v>12</v>
      </c>
    </row>
    <row r="25" s="3" customFormat="1" ht="25.5" customHeight="1" spans="1:29">
      <c r="A25" s="52" t="s">
        <v>36</v>
      </c>
      <c r="B25" s="14">
        <f>5.38+4.5</f>
        <v>9.88</v>
      </c>
      <c r="C25" s="15">
        <v>2</v>
      </c>
      <c r="D25" s="14">
        <v>3.74</v>
      </c>
      <c r="E25" s="15">
        <v>1</v>
      </c>
      <c r="F25" s="14">
        <v>4.86</v>
      </c>
      <c r="G25" s="15">
        <v>1</v>
      </c>
      <c r="H25" s="14">
        <v>5.76</v>
      </c>
      <c r="I25" s="15">
        <v>1</v>
      </c>
      <c r="J25" s="14">
        <v>0</v>
      </c>
      <c r="K25" s="15">
        <v>0</v>
      </c>
      <c r="L25" s="14">
        <v>9.74</v>
      </c>
      <c r="M25" s="15">
        <v>1</v>
      </c>
      <c r="N25" s="14">
        <v>6.68</v>
      </c>
      <c r="O25" s="15">
        <v>1</v>
      </c>
      <c r="P25" s="14">
        <v>4.92</v>
      </c>
      <c r="Q25" s="15">
        <v>1</v>
      </c>
      <c r="R25" s="14">
        <v>5.5</v>
      </c>
      <c r="S25" s="15">
        <v>1</v>
      </c>
      <c r="T25" s="14">
        <v>0</v>
      </c>
      <c r="U25" s="15">
        <v>0</v>
      </c>
      <c r="V25" s="14">
        <v>3.02</v>
      </c>
      <c r="W25" s="15">
        <v>1</v>
      </c>
      <c r="X25" s="14">
        <v>7.66</v>
      </c>
      <c r="Y25" s="15">
        <v>1</v>
      </c>
      <c r="Z25" s="14">
        <v>3.62</v>
      </c>
      <c r="AA25" s="15">
        <v>1</v>
      </c>
      <c r="AB25" s="30">
        <f t="shared" si="0"/>
        <v>65.38</v>
      </c>
      <c r="AC25" s="15">
        <f t="shared" si="1"/>
        <v>12</v>
      </c>
    </row>
    <row r="26" s="3" customFormat="1" ht="25.5" customHeight="1" spans="1:29">
      <c r="A26" s="52" t="s">
        <v>37</v>
      </c>
      <c r="B26" s="14">
        <f>5.14+4.76</f>
        <v>9.9</v>
      </c>
      <c r="C26" s="15">
        <v>2</v>
      </c>
      <c r="D26" s="14">
        <v>0</v>
      </c>
      <c r="E26" s="15">
        <v>0</v>
      </c>
      <c r="F26" s="14">
        <v>6.14</v>
      </c>
      <c r="G26" s="15">
        <v>1</v>
      </c>
      <c r="H26" s="14">
        <v>0</v>
      </c>
      <c r="I26" s="15">
        <v>0</v>
      </c>
      <c r="J26" s="14">
        <v>0</v>
      </c>
      <c r="K26" s="15">
        <v>0</v>
      </c>
      <c r="L26" s="14">
        <v>0</v>
      </c>
      <c r="M26" s="15">
        <v>0</v>
      </c>
      <c r="N26" s="14">
        <v>5.58</v>
      </c>
      <c r="O26" s="15">
        <v>1</v>
      </c>
      <c r="P26" s="14">
        <v>0</v>
      </c>
      <c r="Q26" s="15">
        <v>0</v>
      </c>
      <c r="R26" s="14">
        <v>7.36</v>
      </c>
      <c r="S26" s="15">
        <v>1</v>
      </c>
      <c r="T26" s="14">
        <v>0</v>
      </c>
      <c r="U26" s="15">
        <v>0</v>
      </c>
      <c r="V26" s="14">
        <v>3.66</v>
      </c>
      <c r="W26" s="15">
        <v>1</v>
      </c>
      <c r="X26" s="14">
        <v>0</v>
      </c>
      <c r="Y26" s="15">
        <v>0</v>
      </c>
      <c r="Z26" s="14">
        <v>2.28</v>
      </c>
      <c r="AA26" s="15">
        <v>1</v>
      </c>
      <c r="AB26" s="30">
        <f t="shared" si="0"/>
        <v>34.92</v>
      </c>
      <c r="AC26" s="15">
        <f t="shared" si="1"/>
        <v>7</v>
      </c>
    </row>
    <row r="27" s="3" customFormat="1" ht="25.5" customHeight="1" spans="1:29">
      <c r="A27" s="52" t="s">
        <v>38</v>
      </c>
      <c r="B27" s="14">
        <f>4.34+5.32</f>
        <v>9.66</v>
      </c>
      <c r="C27" s="15">
        <v>2</v>
      </c>
      <c r="D27" s="14">
        <v>7.74</v>
      </c>
      <c r="E27" s="15">
        <v>1</v>
      </c>
      <c r="F27" s="14">
        <v>4.26</v>
      </c>
      <c r="G27" s="15">
        <v>1</v>
      </c>
      <c r="H27" s="14">
        <v>0</v>
      </c>
      <c r="I27" s="15">
        <v>0</v>
      </c>
      <c r="J27" s="14">
        <v>0</v>
      </c>
      <c r="K27" s="15">
        <v>0</v>
      </c>
      <c r="L27" s="14">
        <v>0</v>
      </c>
      <c r="M27" s="15">
        <v>0</v>
      </c>
      <c r="N27" s="14">
        <v>5.22</v>
      </c>
      <c r="O27" s="15">
        <v>1</v>
      </c>
      <c r="P27" s="14">
        <v>6.48</v>
      </c>
      <c r="Q27" s="15">
        <v>1</v>
      </c>
      <c r="R27" s="14">
        <v>5.64</v>
      </c>
      <c r="S27" s="15">
        <v>1</v>
      </c>
      <c r="T27" s="14">
        <v>0</v>
      </c>
      <c r="U27" s="15">
        <v>0</v>
      </c>
      <c r="V27" s="14">
        <v>2.24</v>
      </c>
      <c r="W27" s="15">
        <v>1</v>
      </c>
      <c r="X27" s="14">
        <v>0</v>
      </c>
      <c r="Y27" s="15">
        <v>0</v>
      </c>
      <c r="Z27" s="14">
        <v>3.66</v>
      </c>
      <c r="AA27" s="15">
        <v>1</v>
      </c>
      <c r="AB27" s="30">
        <f t="shared" si="0"/>
        <v>44.9</v>
      </c>
      <c r="AC27" s="15">
        <f t="shared" si="1"/>
        <v>9</v>
      </c>
    </row>
    <row r="28" s="3" customFormat="1" ht="25.5" customHeight="1" spans="1:29">
      <c r="A28" s="52" t="s">
        <v>39</v>
      </c>
      <c r="B28" s="14">
        <f>5.24+3.48</f>
        <v>8.72</v>
      </c>
      <c r="C28" s="15">
        <v>2</v>
      </c>
      <c r="D28" s="14">
        <v>6.2</v>
      </c>
      <c r="E28" s="15">
        <v>1</v>
      </c>
      <c r="F28" s="14">
        <f>4.78+2.98</f>
        <v>7.76</v>
      </c>
      <c r="G28" s="15">
        <v>2</v>
      </c>
      <c r="H28" s="14">
        <v>6.84</v>
      </c>
      <c r="I28" s="15">
        <v>1</v>
      </c>
      <c r="J28" s="14">
        <v>0</v>
      </c>
      <c r="K28" s="15">
        <v>0</v>
      </c>
      <c r="L28" s="14">
        <v>0</v>
      </c>
      <c r="M28" s="15">
        <v>0</v>
      </c>
      <c r="N28" s="14">
        <v>6.56</v>
      </c>
      <c r="O28" s="15">
        <v>1</v>
      </c>
      <c r="P28" s="14">
        <v>3.14</v>
      </c>
      <c r="Q28" s="15">
        <v>1</v>
      </c>
      <c r="R28" s="14">
        <v>5.16</v>
      </c>
      <c r="S28" s="15">
        <v>1</v>
      </c>
      <c r="T28" s="14">
        <v>0</v>
      </c>
      <c r="U28" s="15">
        <v>0</v>
      </c>
      <c r="V28" s="14">
        <f>2.84+3.78</f>
        <v>6.62</v>
      </c>
      <c r="W28" s="15">
        <v>2</v>
      </c>
      <c r="X28" s="14">
        <v>0</v>
      </c>
      <c r="Y28" s="15">
        <v>0</v>
      </c>
      <c r="Z28" s="14">
        <v>3.32</v>
      </c>
      <c r="AA28" s="15">
        <v>1</v>
      </c>
      <c r="AB28" s="30">
        <f t="shared" si="0"/>
        <v>54.32</v>
      </c>
      <c r="AC28" s="15">
        <f t="shared" si="1"/>
        <v>12</v>
      </c>
    </row>
    <row r="29" s="3" customFormat="1" ht="25.5" customHeight="1" spans="1:29">
      <c r="A29" s="52" t="s">
        <v>40</v>
      </c>
      <c r="B29" s="14">
        <f>5.04+3.6</f>
        <v>8.64</v>
      </c>
      <c r="C29" s="15">
        <v>2</v>
      </c>
      <c r="D29" s="14">
        <v>5.48</v>
      </c>
      <c r="E29" s="15">
        <v>1</v>
      </c>
      <c r="F29" s="14">
        <f>5.64+2.2</f>
        <v>7.84</v>
      </c>
      <c r="G29" s="15">
        <v>2</v>
      </c>
      <c r="H29" s="14">
        <v>0</v>
      </c>
      <c r="I29" s="15">
        <v>0</v>
      </c>
      <c r="J29" s="14">
        <v>0</v>
      </c>
      <c r="K29" s="15">
        <v>0</v>
      </c>
      <c r="L29" s="14">
        <v>0</v>
      </c>
      <c r="M29" s="15">
        <v>0</v>
      </c>
      <c r="N29" s="14">
        <v>5.8</v>
      </c>
      <c r="O29" s="15">
        <v>1</v>
      </c>
      <c r="P29" s="14">
        <v>5.72</v>
      </c>
      <c r="Q29" s="15">
        <v>1</v>
      </c>
      <c r="R29" s="14">
        <v>6.16</v>
      </c>
      <c r="S29" s="15">
        <v>1</v>
      </c>
      <c r="T29" s="14">
        <v>0</v>
      </c>
      <c r="U29" s="15">
        <v>0</v>
      </c>
      <c r="V29" s="14">
        <f>3.26+3.76</f>
        <v>7.02</v>
      </c>
      <c r="W29" s="15">
        <v>2</v>
      </c>
      <c r="X29" s="14">
        <v>5.88</v>
      </c>
      <c r="Y29" s="15">
        <v>1</v>
      </c>
      <c r="Z29" s="14">
        <v>3.46</v>
      </c>
      <c r="AA29" s="15">
        <v>1</v>
      </c>
      <c r="AB29" s="30">
        <f t="shared" si="0"/>
        <v>56</v>
      </c>
      <c r="AC29" s="15">
        <f t="shared" si="1"/>
        <v>12</v>
      </c>
    </row>
    <row r="30" s="3" customFormat="1" ht="25.5" customHeight="1" spans="1:29">
      <c r="A30" s="52" t="s">
        <v>41</v>
      </c>
      <c r="B30" s="14">
        <f>5.46+4.4</f>
        <v>9.86</v>
      </c>
      <c r="C30" s="15">
        <v>2</v>
      </c>
      <c r="D30" s="14">
        <v>5.5</v>
      </c>
      <c r="E30" s="15">
        <v>1</v>
      </c>
      <c r="F30" s="14">
        <f>2.86+4.86</f>
        <v>7.72</v>
      </c>
      <c r="G30" s="15">
        <v>2</v>
      </c>
      <c r="H30" s="14">
        <v>5.82</v>
      </c>
      <c r="I30" s="15">
        <v>1</v>
      </c>
      <c r="J30" s="14">
        <v>0</v>
      </c>
      <c r="K30" s="15">
        <v>0</v>
      </c>
      <c r="L30" s="14">
        <v>8.94</v>
      </c>
      <c r="M30" s="15">
        <v>1</v>
      </c>
      <c r="N30" s="14">
        <v>7.26</v>
      </c>
      <c r="O30" s="15">
        <v>1</v>
      </c>
      <c r="P30" s="14">
        <v>0</v>
      </c>
      <c r="Q30" s="15">
        <v>0</v>
      </c>
      <c r="R30" s="14">
        <v>7.02</v>
      </c>
      <c r="S30" s="15">
        <v>1</v>
      </c>
      <c r="T30" s="14">
        <v>0</v>
      </c>
      <c r="U30" s="15">
        <v>0</v>
      </c>
      <c r="V30" s="14">
        <f>2.84+3.28</f>
        <v>6.12</v>
      </c>
      <c r="W30" s="15">
        <v>2</v>
      </c>
      <c r="X30" s="14">
        <v>0</v>
      </c>
      <c r="Y30" s="15">
        <v>0</v>
      </c>
      <c r="Z30" s="14">
        <v>3.72</v>
      </c>
      <c r="AA30" s="15">
        <v>1</v>
      </c>
      <c r="AB30" s="30">
        <f t="shared" si="0"/>
        <v>61.96</v>
      </c>
      <c r="AC30" s="15">
        <f t="shared" si="1"/>
        <v>12</v>
      </c>
    </row>
    <row r="31" s="3" customFormat="1" ht="25.5" customHeight="1" spans="1:29">
      <c r="A31" s="52" t="s">
        <v>42</v>
      </c>
      <c r="B31" s="14">
        <f>4.72+4.08</f>
        <v>8.8</v>
      </c>
      <c r="C31" s="15">
        <v>2</v>
      </c>
      <c r="D31" s="14">
        <v>4.28</v>
      </c>
      <c r="E31" s="15">
        <v>1</v>
      </c>
      <c r="F31" s="14">
        <v>5.78</v>
      </c>
      <c r="G31" s="15">
        <v>1</v>
      </c>
      <c r="H31" s="14">
        <v>0</v>
      </c>
      <c r="I31" s="15">
        <v>0</v>
      </c>
      <c r="J31" s="14">
        <v>0</v>
      </c>
      <c r="K31" s="15">
        <v>0</v>
      </c>
      <c r="L31" s="14">
        <v>0</v>
      </c>
      <c r="M31" s="15">
        <v>0</v>
      </c>
      <c r="N31" s="14">
        <v>6.74</v>
      </c>
      <c r="O31" s="15">
        <v>1</v>
      </c>
      <c r="P31" s="14">
        <v>5.34</v>
      </c>
      <c r="Q31" s="15">
        <v>1</v>
      </c>
      <c r="R31" s="14">
        <v>5.92</v>
      </c>
      <c r="S31" s="15">
        <v>1</v>
      </c>
      <c r="T31" s="14">
        <v>0</v>
      </c>
      <c r="U31" s="15">
        <v>0</v>
      </c>
      <c r="V31" s="14">
        <f>2.94+3.14</f>
        <v>6.08</v>
      </c>
      <c r="W31" s="15">
        <v>2</v>
      </c>
      <c r="X31" s="14">
        <v>4.86</v>
      </c>
      <c r="Y31" s="15">
        <v>1</v>
      </c>
      <c r="Z31" s="14">
        <v>3.6</v>
      </c>
      <c r="AA31" s="15">
        <v>1</v>
      </c>
      <c r="AB31" s="30">
        <f t="shared" si="0"/>
        <v>51.4</v>
      </c>
      <c r="AC31" s="15">
        <f t="shared" si="1"/>
        <v>11</v>
      </c>
    </row>
    <row r="32" s="3" customFormat="1" ht="25.5" customHeight="1" spans="1:29">
      <c r="A32" s="52" t="s">
        <v>43</v>
      </c>
      <c r="B32" s="14">
        <f>5.28+4.34</f>
        <v>9.62</v>
      </c>
      <c r="C32" s="15">
        <v>2</v>
      </c>
      <c r="D32" s="14">
        <v>6.68</v>
      </c>
      <c r="E32" s="15">
        <v>1</v>
      </c>
      <c r="F32" s="14">
        <v>6.64</v>
      </c>
      <c r="G32" s="15">
        <v>1</v>
      </c>
      <c r="H32" s="14">
        <v>5.64</v>
      </c>
      <c r="I32" s="15">
        <v>1</v>
      </c>
      <c r="J32" s="14">
        <v>0</v>
      </c>
      <c r="K32" s="15">
        <v>0</v>
      </c>
      <c r="L32" s="14">
        <v>0</v>
      </c>
      <c r="M32" s="15">
        <v>0</v>
      </c>
      <c r="N32" s="14">
        <v>6.84</v>
      </c>
      <c r="O32" s="15">
        <v>1</v>
      </c>
      <c r="P32" s="14">
        <v>5.3</v>
      </c>
      <c r="Q32" s="15">
        <v>1</v>
      </c>
      <c r="R32" s="14">
        <v>6.78</v>
      </c>
      <c r="S32" s="15">
        <v>1</v>
      </c>
      <c r="T32" s="14">
        <v>0</v>
      </c>
      <c r="U32" s="15">
        <v>0</v>
      </c>
      <c r="V32" s="14">
        <v>2.88</v>
      </c>
      <c r="W32" s="15">
        <v>1</v>
      </c>
      <c r="X32" s="14">
        <v>4.34</v>
      </c>
      <c r="Y32" s="15">
        <v>1</v>
      </c>
      <c r="Z32" s="14">
        <v>3.76</v>
      </c>
      <c r="AA32" s="15">
        <v>1</v>
      </c>
      <c r="AB32" s="30">
        <f t="shared" si="0"/>
        <v>58.48</v>
      </c>
      <c r="AC32" s="15">
        <f t="shared" si="1"/>
        <v>11</v>
      </c>
    </row>
    <row r="33" s="3" customFormat="1" ht="25.5" customHeight="1" spans="1:29">
      <c r="A33" s="52" t="s">
        <v>44</v>
      </c>
      <c r="B33" s="14">
        <f>5.16+5.42</f>
        <v>10.58</v>
      </c>
      <c r="C33" s="15">
        <v>2</v>
      </c>
      <c r="D33" s="14">
        <v>0</v>
      </c>
      <c r="E33" s="15">
        <v>0</v>
      </c>
      <c r="F33" s="14">
        <v>5.72</v>
      </c>
      <c r="G33" s="15">
        <v>1</v>
      </c>
      <c r="H33" s="14">
        <v>0</v>
      </c>
      <c r="I33" s="15">
        <v>0</v>
      </c>
      <c r="J33" s="14">
        <v>0</v>
      </c>
      <c r="K33" s="15">
        <v>0</v>
      </c>
      <c r="L33" s="14">
        <v>0</v>
      </c>
      <c r="M33" s="15">
        <v>0</v>
      </c>
      <c r="N33" s="14">
        <v>5.24</v>
      </c>
      <c r="O33" s="15">
        <v>1</v>
      </c>
      <c r="P33" s="14">
        <v>6.22</v>
      </c>
      <c r="Q33" s="15">
        <v>1</v>
      </c>
      <c r="R33" s="14">
        <v>7.46</v>
      </c>
      <c r="S33" s="15">
        <v>1</v>
      </c>
      <c r="T33" s="14">
        <v>0</v>
      </c>
      <c r="U33" s="15">
        <v>0</v>
      </c>
      <c r="V33" s="14">
        <v>0</v>
      </c>
      <c r="W33" s="15">
        <v>0</v>
      </c>
      <c r="X33" s="14">
        <v>0</v>
      </c>
      <c r="Y33" s="15">
        <v>0</v>
      </c>
      <c r="Z33" s="14">
        <v>3.26</v>
      </c>
      <c r="AA33" s="15">
        <v>1</v>
      </c>
      <c r="AB33" s="30">
        <f t="shared" si="0"/>
        <v>38.48</v>
      </c>
      <c r="AC33" s="15">
        <f t="shared" si="1"/>
        <v>7</v>
      </c>
    </row>
    <row r="34" s="3" customFormat="1" ht="25.5" customHeight="1" spans="1:29">
      <c r="A34" s="52" t="s">
        <v>45</v>
      </c>
      <c r="B34" s="14">
        <f>4.42+4.78</f>
        <v>9.2</v>
      </c>
      <c r="C34" s="15">
        <v>2</v>
      </c>
      <c r="D34" s="14">
        <v>7.32</v>
      </c>
      <c r="E34" s="15">
        <v>1</v>
      </c>
      <c r="F34" s="14">
        <v>5.62</v>
      </c>
      <c r="G34" s="15">
        <v>1</v>
      </c>
      <c r="H34" s="14">
        <v>0</v>
      </c>
      <c r="I34" s="15">
        <v>0</v>
      </c>
      <c r="J34" s="14">
        <v>0</v>
      </c>
      <c r="K34" s="15">
        <v>0</v>
      </c>
      <c r="L34" s="14">
        <v>0</v>
      </c>
      <c r="M34" s="15">
        <v>0</v>
      </c>
      <c r="N34" s="14">
        <v>5.4</v>
      </c>
      <c r="O34" s="15">
        <v>1</v>
      </c>
      <c r="P34" s="14">
        <v>0</v>
      </c>
      <c r="Q34" s="15">
        <v>0</v>
      </c>
      <c r="R34" s="14">
        <v>6.82</v>
      </c>
      <c r="S34" s="15">
        <v>1</v>
      </c>
      <c r="T34" s="14">
        <v>0</v>
      </c>
      <c r="U34" s="15">
        <v>0</v>
      </c>
      <c r="V34" s="14">
        <v>3.54</v>
      </c>
      <c r="W34" s="15">
        <v>1</v>
      </c>
      <c r="X34" s="14">
        <v>0</v>
      </c>
      <c r="Y34" s="15">
        <v>0</v>
      </c>
      <c r="Z34" s="14">
        <v>3.06</v>
      </c>
      <c r="AA34" s="15">
        <v>1</v>
      </c>
      <c r="AB34" s="30">
        <f t="shared" si="0"/>
        <v>40.96</v>
      </c>
      <c r="AC34" s="15">
        <f t="shared" si="1"/>
        <v>8</v>
      </c>
    </row>
    <row r="35" s="3" customFormat="1" ht="24" customHeight="1" spans="1:29">
      <c r="A35" s="52" t="s">
        <v>46</v>
      </c>
      <c r="B35" s="14">
        <f>5.24+4.32</f>
        <v>9.56</v>
      </c>
      <c r="C35" s="15">
        <v>2</v>
      </c>
      <c r="D35" s="14">
        <v>6.42</v>
      </c>
      <c r="E35" s="15">
        <v>1</v>
      </c>
      <c r="F35" s="14">
        <f>4.8+2.98</f>
        <v>7.78</v>
      </c>
      <c r="G35" s="15">
        <v>2</v>
      </c>
      <c r="H35" s="14">
        <v>6.32</v>
      </c>
      <c r="I35" s="15">
        <v>1</v>
      </c>
      <c r="J35" s="14">
        <v>0</v>
      </c>
      <c r="K35" s="15">
        <v>0</v>
      </c>
      <c r="L35" s="14">
        <v>9.76</v>
      </c>
      <c r="M35" s="15">
        <v>1</v>
      </c>
      <c r="N35" s="14">
        <v>6.68</v>
      </c>
      <c r="O35" s="15">
        <v>1</v>
      </c>
      <c r="P35" s="14">
        <v>4.08</v>
      </c>
      <c r="Q35" s="15">
        <v>1</v>
      </c>
      <c r="R35" s="14">
        <v>5.9</v>
      </c>
      <c r="S35" s="15">
        <v>1</v>
      </c>
      <c r="T35" s="14">
        <v>0</v>
      </c>
      <c r="U35" s="15">
        <v>0</v>
      </c>
      <c r="V35" s="14">
        <f>3.72+3.78</f>
        <v>7.5</v>
      </c>
      <c r="W35" s="15">
        <v>2</v>
      </c>
      <c r="X35" s="14">
        <v>0</v>
      </c>
      <c r="Y35" s="15">
        <v>0</v>
      </c>
      <c r="Z35" s="14">
        <v>3.76</v>
      </c>
      <c r="AA35" s="15">
        <v>1</v>
      </c>
      <c r="AB35" s="30">
        <f t="shared" si="0"/>
        <v>67.76</v>
      </c>
      <c r="AC35" s="15">
        <f t="shared" si="1"/>
        <v>13</v>
      </c>
    </row>
    <row r="36" s="3" customFormat="1" ht="25.5" customHeight="1" spans="1:33">
      <c r="A36" s="53" t="s">
        <v>13</v>
      </c>
      <c r="B36" s="30">
        <f t="shared" ref="B36:AC36" si="2">SUM(B5:B35)</f>
        <v>287.22</v>
      </c>
      <c r="C36" s="15">
        <f t="shared" si="2"/>
        <v>61</v>
      </c>
      <c r="D36" s="30">
        <f t="shared" si="2"/>
        <v>151.5</v>
      </c>
      <c r="E36" s="15">
        <f t="shared" si="2"/>
        <v>27</v>
      </c>
      <c r="F36" s="30">
        <f t="shared" si="2"/>
        <v>206.28</v>
      </c>
      <c r="G36" s="15">
        <f t="shared" si="2"/>
        <v>42</v>
      </c>
      <c r="H36" s="30">
        <f t="shared" si="2"/>
        <v>83.56</v>
      </c>
      <c r="I36" s="15">
        <f t="shared" si="2"/>
        <v>14</v>
      </c>
      <c r="J36" s="30">
        <f t="shared" si="2"/>
        <v>0</v>
      </c>
      <c r="K36" s="30">
        <f t="shared" si="2"/>
        <v>0</v>
      </c>
      <c r="L36" s="30">
        <f t="shared" si="2"/>
        <v>73.06</v>
      </c>
      <c r="M36" s="15">
        <f t="shared" si="2"/>
        <v>8</v>
      </c>
      <c r="N36" s="30">
        <f t="shared" si="2"/>
        <v>193.22</v>
      </c>
      <c r="O36" s="15">
        <f t="shared" si="2"/>
        <v>31</v>
      </c>
      <c r="P36" s="30">
        <f t="shared" si="2"/>
        <v>114.66</v>
      </c>
      <c r="Q36" s="15">
        <f t="shared" si="2"/>
        <v>22</v>
      </c>
      <c r="R36" s="30">
        <f t="shared" si="2"/>
        <v>206.22</v>
      </c>
      <c r="S36" s="15">
        <f t="shared" si="2"/>
        <v>31</v>
      </c>
      <c r="T36" s="30">
        <f t="shared" si="2"/>
        <v>0</v>
      </c>
      <c r="U36" s="30">
        <f t="shared" si="2"/>
        <v>0</v>
      </c>
      <c r="V36" s="30">
        <f t="shared" si="2"/>
        <v>143.9</v>
      </c>
      <c r="W36" s="15">
        <f t="shared" si="2"/>
        <v>47</v>
      </c>
      <c r="X36" s="30">
        <f t="shared" si="2"/>
        <v>48.14</v>
      </c>
      <c r="Y36" s="15">
        <f t="shared" si="2"/>
        <v>8</v>
      </c>
      <c r="Z36" s="30">
        <f t="shared" si="2"/>
        <v>108.06</v>
      </c>
      <c r="AA36" s="15">
        <f t="shared" si="2"/>
        <v>31</v>
      </c>
      <c r="AB36" s="30">
        <f t="shared" si="2"/>
        <v>1615.82</v>
      </c>
      <c r="AC36" s="15">
        <f t="shared" si="2"/>
        <v>322</v>
      </c>
      <c r="AE36" s="31"/>
      <c r="AG36" s="31"/>
    </row>
    <row r="37" s="3" customFormat="1" ht="7.5" hidden="1" customHeight="1" spans="1:33">
      <c r="A37" s="54"/>
      <c r="B37" s="55"/>
      <c r="C37" s="56"/>
      <c r="D37" s="57"/>
      <c r="E37" s="58"/>
      <c r="F37" s="57"/>
      <c r="G37" s="58"/>
      <c r="H37" s="57"/>
      <c r="I37" s="58"/>
      <c r="J37" s="57"/>
      <c r="K37" s="58"/>
      <c r="L37" s="57"/>
      <c r="M37" s="58"/>
      <c r="N37" s="57"/>
      <c r="O37" s="58"/>
      <c r="P37" s="57"/>
      <c r="Q37" s="58"/>
      <c r="R37" s="57"/>
      <c r="S37" s="58"/>
      <c r="T37" s="57"/>
      <c r="U37" s="58"/>
      <c r="V37" s="57"/>
      <c r="W37" s="58"/>
      <c r="X37" s="57"/>
      <c r="Y37" s="58"/>
      <c r="Z37" s="57"/>
      <c r="AA37" s="58"/>
      <c r="AB37" s="66"/>
      <c r="AC37" s="67"/>
      <c r="AE37" s="31"/>
      <c r="AG37" s="31"/>
    </row>
    <row r="38" s="4" customFormat="1" ht="26.25" customHeight="1" spans="1:31">
      <c r="A38" s="59" t="s">
        <v>65</v>
      </c>
      <c r="B38" s="60"/>
      <c r="C38" s="60"/>
      <c r="D38" s="61"/>
      <c r="E38" s="61"/>
      <c r="F38" s="61"/>
      <c r="G38" s="61"/>
      <c r="H38" s="61"/>
      <c r="I38" s="61"/>
      <c r="P38" s="44"/>
      <c r="Q38" s="44"/>
      <c r="R38" s="63"/>
      <c r="S38" s="63"/>
      <c r="T38" s="63"/>
      <c r="U38" s="63"/>
      <c r="V38" s="63"/>
      <c r="W38" s="63"/>
      <c r="X38" s="63"/>
      <c r="Y38" s="63"/>
      <c r="Z38" s="63"/>
      <c r="AA38" s="63"/>
      <c r="AC38" s="68"/>
      <c r="AE38" s="44"/>
    </row>
    <row r="39" s="1" customFormat="1" spans="1:9">
      <c r="A39" s="26"/>
      <c r="B39" s="26"/>
      <c r="C39" s="26"/>
      <c r="D39" s="26"/>
      <c r="E39" s="26"/>
      <c r="F39" s="26"/>
      <c r="G39" s="26"/>
      <c r="H39" s="26"/>
      <c r="I39" s="26"/>
    </row>
    <row r="40" s="1" customFormat="1" spans="1:31">
      <c r="A40" s="25"/>
      <c r="B40" s="25"/>
      <c r="C40" s="25"/>
      <c r="D40" s="25"/>
      <c r="E40" s="25"/>
      <c r="F40" s="25"/>
      <c r="G40" s="25"/>
      <c r="H40" s="25"/>
      <c r="I40" s="25"/>
      <c r="AB40" s="69"/>
      <c r="AC40" s="70"/>
      <c r="AE40" s="37"/>
    </row>
    <row r="41" s="1" customFormat="1" spans="1:32">
      <c r="A41" s="26"/>
      <c r="B41" s="26"/>
      <c r="C41" s="26"/>
      <c r="D41" s="26"/>
      <c r="E41" s="26"/>
      <c r="F41" s="62"/>
      <c r="G41" s="62"/>
      <c r="H41" s="26"/>
      <c r="I41" s="26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E41" s="37"/>
      <c r="AF41" s="37"/>
    </row>
    <row r="42" s="1" customFormat="1" spans="1:29">
      <c r="A42" s="26"/>
      <c r="B42" s="26"/>
      <c r="C42" s="26"/>
      <c r="D42" s="26"/>
      <c r="E42" s="26"/>
      <c r="F42" s="26"/>
      <c r="G42" s="26"/>
      <c r="H42" s="26"/>
      <c r="I42" s="26"/>
      <c r="J42" s="37"/>
      <c r="AB42" s="38"/>
      <c r="AC42" s="38"/>
    </row>
    <row r="43" s="1" customFormat="1" spans="1:9">
      <c r="A43" s="26"/>
      <c r="B43" s="26"/>
      <c r="C43" s="26"/>
      <c r="D43" s="26"/>
      <c r="E43" s="26"/>
      <c r="F43" s="26"/>
      <c r="G43" s="26"/>
      <c r="H43" s="26"/>
      <c r="I43" s="26"/>
    </row>
    <row r="44" s="1" customFormat="1" spans="28:29">
      <c r="AB44" s="71"/>
      <c r="AC44" s="72"/>
    </row>
    <row r="46" spans="28:29">
      <c r="AB46" s="73"/>
      <c r="AC46" s="74"/>
    </row>
    <row r="48" spans="28:29">
      <c r="AB48" s="75"/>
      <c r="AC48" s="76"/>
    </row>
  </sheetData>
  <mergeCells count="18">
    <mergeCell ref="A1:AC1"/>
    <mergeCell ref="D2:AC2"/>
    <mergeCell ref="B3:C3"/>
    <mergeCell ref="D3:E3"/>
    <mergeCell ref="F3:G3"/>
    <mergeCell ref="H3:I3"/>
    <mergeCell ref="J3:K3"/>
    <mergeCell ref="L3:M3"/>
    <mergeCell ref="N3:O3"/>
    <mergeCell ref="P3:Q3"/>
    <mergeCell ref="R3:S3"/>
    <mergeCell ref="T3:U3"/>
    <mergeCell ref="V3:W3"/>
    <mergeCell ref="X3:Y3"/>
    <mergeCell ref="Z3:AA3"/>
    <mergeCell ref="AB3:AC3"/>
    <mergeCell ref="A40:D40"/>
    <mergeCell ref="A3:A4"/>
  </mergeCells>
  <pageMargins left="0.4" right="0.22" top="0.22" bottom="0.2" header="0.22" footer="0.2"/>
  <pageSetup paperSize="9" scale="55" orientation="landscape" horizontalDpi="600" verticalDpi="600"/>
  <headerFooter alignWithMargins="0" scaleWithDoc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1"/>
  </sheetPr>
  <dimension ref="A1:O41"/>
  <sheetViews>
    <sheetView zoomScale="85" zoomScaleNormal="85" zoomScaleSheetLayoutView="60" workbookViewId="0">
      <pane xSplit="1" ySplit="4" topLeftCell="B23" activePane="bottomRight" state="frozen"/>
      <selection/>
      <selection pane="topRight"/>
      <selection pane="bottomLeft"/>
      <selection pane="bottomRight" activeCell="J25" sqref="J25:K35"/>
    </sheetView>
  </sheetViews>
  <sheetFormatPr defaultColWidth="9" defaultRowHeight="14.25"/>
  <cols>
    <col min="1" max="1" width="5.375" style="1" customWidth="1"/>
    <col min="2" max="2" width="11.125" style="1" customWidth="1"/>
    <col min="3" max="3" width="6" style="1" customWidth="1"/>
    <col min="4" max="4" width="11.375" style="1" customWidth="1"/>
    <col min="5" max="5" width="6.625" style="1" customWidth="1"/>
    <col min="6" max="6" width="11.125" style="1" customWidth="1"/>
    <col min="7" max="7" width="6.25" style="1" customWidth="1"/>
    <col min="8" max="8" width="11.375" style="1" customWidth="1"/>
    <col min="9" max="9" width="6.5" style="1" customWidth="1"/>
    <col min="10" max="10" width="13.75" style="1" customWidth="1"/>
    <col min="11" max="11" width="7.375" style="1" customWidth="1"/>
    <col min="12" max="12" width="9" style="1"/>
    <col min="13" max="13" width="16.125" style="1"/>
    <col min="14" max="14" width="32.75" style="1" customWidth="1"/>
    <col min="15" max="15" width="11.625" style="1"/>
    <col min="16" max="16384" width="9" style="1"/>
  </cols>
  <sheetData>
    <row r="1" s="1" customFormat="1" ht="35.25" customHeight="1" spans="1:1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="2" customFormat="1" ht="30" customHeight="1" spans="1:11">
      <c r="A2" s="6">
        <v>1000</v>
      </c>
      <c r="B2" s="6"/>
      <c r="C2" s="6"/>
      <c r="D2" s="40" t="s">
        <v>1</v>
      </c>
      <c r="E2" s="40"/>
      <c r="F2" s="40"/>
      <c r="G2" s="40"/>
      <c r="H2" s="40"/>
      <c r="I2" s="40"/>
      <c r="J2" s="40"/>
      <c r="K2" s="40"/>
    </row>
    <row r="3" s="2" customFormat="1" ht="37.5" customHeight="1" spans="1:11">
      <c r="A3" s="8" t="s">
        <v>2</v>
      </c>
      <c r="B3" s="9" t="s">
        <v>66</v>
      </c>
      <c r="C3" s="10"/>
      <c r="D3" s="9" t="s">
        <v>67</v>
      </c>
      <c r="E3" s="10"/>
      <c r="F3" s="9" t="s">
        <v>68</v>
      </c>
      <c r="G3" s="10"/>
      <c r="H3" s="9" t="s">
        <v>69</v>
      </c>
      <c r="I3" s="10"/>
      <c r="J3" s="28" t="s">
        <v>13</v>
      </c>
      <c r="K3" s="29"/>
    </row>
    <row r="4" s="2" customFormat="1" ht="24.75" customHeight="1" spans="1:11">
      <c r="A4" s="11"/>
      <c r="B4" s="11" t="s">
        <v>14</v>
      </c>
      <c r="C4" s="11" t="s">
        <v>15</v>
      </c>
      <c r="D4" s="11" t="s">
        <v>14</v>
      </c>
      <c r="E4" s="11" t="s">
        <v>15</v>
      </c>
      <c r="F4" s="12" t="s">
        <v>14</v>
      </c>
      <c r="G4" s="12" t="s">
        <v>15</v>
      </c>
      <c r="H4" s="12" t="s">
        <v>14</v>
      </c>
      <c r="I4" s="12" t="s">
        <v>15</v>
      </c>
      <c r="J4" s="12" t="s">
        <v>14</v>
      </c>
      <c r="K4" s="12" t="s">
        <v>15</v>
      </c>
    </row>
    <row r="5" s="3" customFormat="1" ht="22.5" customHeight="1" spans="1:11">
      <c r="A5" s="13" t="s">
        <v>16</v>
      </c>
      <c r="B5" s="14">
        <v>5.48</v>
      </c>
      <c r="C5" s="15">
        <v>1</v>
      </c>
      <c r="D5" s="14">
        <v>3.2</v>
      </c>
      <c r="E5" s="15">
        <v>1</v>
      </c>
      <c r="F5" s="14">
        <f>5.84+5.68</f>
        <v>11.52</v>
      </c>
      <c r="G5" s="15">
        <v>2</v>
      </c>
      <c r="H5" s="14">
        <f>7.4+8.96+8.02+10.18</f>
        <v>34.56</v>
      </c>
      <c r="I5" s="15">
        <v>4</v>
      </c>
      <c r="J5" s="30">
        <f t="shared" ref="J5:J34" si="0">+B5+D5+F5+H5</f>
        <v>54.76</v>
      </c>
      <c r="K5" s="43">
        <f t="shared" ref="K5:K34" si="1">+C5+E5+G5+I5</f>
        <v>8</v>
      </c>
    </row>
    <row r="6" s="3" customFormat="1" ht="22.5" customHeight="1" spans="1:15">
      <c r="A6" s="13" t="s">
        <v>17</v>
      </c>
      <c r="B6" s="14">
        <v>0</v>
      </c>
      <c r="C6" s="15">
        <v>0</v>
      </c>
      <c r="D6" s="14">
        <v>0</v>
      </c>
      <c r="E6" s="15">
        <v>0</v>
      </c>
      <c r="F6" s="14">
        <f>6.82+6.24+5.52</f>
        <v>18.58</v>
      </c>
      <c r="G6" s="15">
        <v>3</v>
      </c>
      <c r="H6" s="14">
        <f>7.52+8.4+7.78+8.38</f>
        <v>32.08</v>
      </c>
      <c r="I6" s="15">
        <v>4</v>
      </c>
      <c r="J6" s="30">
        <f t="shared" si="0"/>
        <v>50.66</v>
      </c>
      <c r="K6" s="43">
        <f t="shared" si="1"/>
        <v>7</v>
      </c>
      <c r="N6" s="39"/>
      <c r="O6" s="39"/>
    </row>
    <row r="7" s="3" customFormat="1" ht="22.5" customHeight="1" spans="1:15">
      <c r="A7" s="13" t="s">
        <v>18</v>
      </c>
      <c r="B7" s="14">
        <f>7.14+3.6</f>
        <v>10.74</v>
      </c>
      <c r="C7" s="15">
        <v>2</v>
      </c>
      <c r="D7" s="14">
        <v>4.5</v>
      </c>
      <c r="E7" s="15">
        <v>1</v>
      </c>
      <c r="F7" s="14">
        <f>4.88+3.58</f>
        <v>8.46</v>
      </c>
      <c r="G7" s="15">
        <v>2</v>
      </c>
      <c r="H7" s="14">
        <f>7.68+7.84+7.84+9.66</f>
        <v>33.02</v>
      </c>
      <c r="I7" s="15">
        <v>4</v>
      </c>
      <c r="J7" s="30">
        <f t="shared" si="0"/>
        <v>56.72</v>
      </c>
      <c r="K7" s="43">
        <f t="shared" si="1"/>
        <v>9</v>
      </c>
      <c r="N7" s="39"/>
      <c r="O7" s="39"/>
    </row>
    <row r="8" s="3" customFormat="1" ht="22.5" customHeight="1" spans="1:15">
      <c r="A8" s="13" t="s">
        <v>19</v>
      </c>
      <c r="B8" s="14">
        <v>7.8</v>
      </c>
      <c r="C8" s="15">
        <v>1</v>
      </c>
      <c r="D8" s="14">
        <v>3.18</v>
      </c>
      <c r="E8" s="15">
        <v>1</v>
      </c>
      <c r="F8" s="14">
        <f>6.88+5.38</f>
        <v>12.26</v>
      </c>
      <c r="G8" s="15">
        <v>2</v>
      </c>
      <c r="H8" s="14">
        <f>7.66+8.32+8.1+7.62</f>
        <v>31.7</v>
      </c>
      <c r="I8" s="15">
        <v>4</v>
      </c>
      <c r="J8" s="30">
        <f t="shared" si="0"/>
        <v>54.94</v>
      </c>
      <c r="K8" s="43">
        <f t="shared" si="1"/>
        <v>8</v>
      </c>
      <c r="N8" s="39"/>
      <c r="O8" s="39"/>
    </row>
    <row r="9" s="3" customFormat="1" ht="22.5" customHeight="1" spans="1:15">
      <c r="A9" s="13" t="s">
        <v>20</v>
      </c>
      <c r="B9" s="14">
        <f>5.86+6.02</f>
        <v>11.88</v>
      </c>
      <c r="C9" s="15">
        <v>2</v>
      </c>
      <c r="D9" s="14">
        <v>3.26</v>
      </c>
      <c r="E9" s="15">
        <v>1</v>
      </c>
      <c r="F9" s="14">
        <f>7.14+6.5</f>
        <v>13.64</v>
      </c>
      <c r="G9" s="15">
        <v>2</v>
      </c>
      <c r="H9" s="14">
        <f>7.58+7.98+10.56</f>
        <v>26.12</v>
      </c>
      <c r="I9" s="15">
        <v>3</v>
      </c>
      <c r="J9" s="30">
        <f t="shared" si="0"/>
        <v>54.9</v>
      </c>
      <c r="K9" s="43">
        <f t="shared" si="1"/>
        <v>8</v>
      </c>
      <c r="N9" s="39"/>
      <c r="O9" s="39"/>
    </row>
    <row r="10" s="3" customFormat="1" ht="22.5" customHeight="1" spans="1:15">
      <c r="A10" s="13" t="s">
        <v>21</v>
      </c>
      <c r="B10" s="14">
        <v>7.92</v>
      </c>
      <c r="C10" s="15">
        <v>1</v>
      </c>
      <c r="D10" s="14">
        <v>3.54</v>
      </c>
      <c r="E10" s="15">
        <v>1</v>
      </c>
      <c r="F10" s="14">
        <f>6.7+6.32</f>
        <v>13.02</v>
      </c>
      <c r="G10" s="15">
        <v>2</v>
      </c>
      <c r="H10" s="14">
        <f>7.66+8.84+7.78+8.88</f>
        <v>33.16</v>
      </c>
      <c r="I10" s="15">
        <v>4</v>
      </c>
      <c r="J10" s="30">
        <f t="shared" si="0"/>
        <v>57.64</v>
      </c>
      <c r="K10" s="43">
        <f t="shared" si="1"/>
        <v>8</v>
      </c>
      <c r="N10" s="39"/>
      <c r="O10" s="39"/>
    </row>
    <row r="11" s="3" customFormat="1" ht="22.5" customHeight="1" spans="1:15">
      <c r="A11" s="13" t="s">
        <v>22</v>
      </c>
      <c r="B11" s="14">
        <v>7.86</v>
      </c>
      <c r="C11" s="15">
        <v>1</v>
      </c>
      <c r="D11" s="14">
        <v>3.12</v>
      </c>
      <c r="E11" s="15">
        <v>1</v>
      </c>
      <c r="F11" s="14">
        <f>7.26+6.56</f>
        <v>13.82</v>
      </c>
      <c r="G11" s="15">
        <v>2</v>
      </c>
      <c r="H11" s="14">
        <f>7.38+8.36+8.08+9.28</f>
        <v>33.1</v>
      </c>
      <c r="I11" s="15">
        <v>4</v>
      </c>
      <c r="J11" s="30">
        <f t="shared" si="0"/>
        <v>57.9</v>
      </c>
      <c r="K11" s="43">
        <f t="shared" si="1"/>
        <v>8</v>
      </c>
      <c r="N11" s="39"/>
      <c r="O11" s="39"/>
    </row>
    <row r="12" s="3" customFormat="1" ht="22.5" customHeight="1" spans="1:15">
      <c r="A12" s="13" t="s">
        <v>23</v>
      </c>
      <c r="B12" s="14">
        <v>0</v>
      </c>
      <c r="C12" s="15">
        <v>0</v>
      </c>
      <c r="D12" s="14">
        <v>5.02</v>
      </c>
      <c r="E12" s="15">
        <v>1</v>
      </c>
      <c r="F12" s="14">
        <f>7.28+6.52</f>
        <v>13.8</v>
      </c>
      <c r="G12" s="15">
        <v>2</v>
      </c>
      <c r="H12" s="14">
        <f>7.44+8.42+7.96+9.38</f>
        <v>33.2</v>
      </c>
      <c r="I12" s="15">
        <v>4</v>
      </c>
      <c r="J12" s="30">
        <f t="shared" si="0"/>
        <v>52.02</v>
      </c>
      <c r="K12" s="43">
        <f t="shared" si="1"/>
        <v>7</v>
      </c>
      <c r="N12" s="39"/>
      <c r="O12" s="39"/>
    </row>
    <row r="13" s="3" customFormat="1" ht="22.5" customHeight="1" spans="1:15">
      <c r="A13" s="13" t="s">
        <v>24</v>
      </c>
      <c r="B13" s="14">
        <f>6.76+6.38</f>
        <v>13.14</v>
      </c>
      <c r="C13" s="15">
        <v>2</v>
      </c>
      <c r="D13" s="14">
        <v>0</v>
      </c>
      <c r="E13" s="15">
        <v>0</v>
      </c>
      <c r="F13" s="14">
        <f>7.28+6.52</f>
        <v>13.8</v>
      </c>
      <c r="G13" s="15">
        <v>2</v>
      </c>
      <c r="H13" s="14">
        <f>7.44+8.3+7.96+8.08</f>
        <v>31.78</v>
      </c>
      <c r="I13" s="15">
        <v>4</v>
      </c>
      <c r="J13" s="30">
        <f t="shared" si="0"/>
        <v>58.72</v>
      </c>
      <c r="K13" s="43">
        <f t="shared" si="1"/>
        <v>8</v>
      </c>
      <c r="N13" s="39"/>
      <c r="O13" s="39"/>
    </row>
    <row r="14" s="3" customFormat="1" ht="22.5" customHeight="1" spans="1:15">
      <c r="A14" s="13" t="s">
        <v>25</v>
      </c>
      <c r="B14" s="14">
        <v>7.3</v>
      </c>
      <c r="C14" s="15">
        <v>1</v>
      </c>
      <c r="D14" s="14">
        <v>2.64</v>
      </c>
      <c r="E14" s="15">
        <v>1</v>
      </c>
      <c r="F14" s="14">
        <f>7.4+5.06</f>
        <v>12.46</v>
      </c>
      <c r="G14" s="15">
        <v>2</v>
      </c>
      <c r="H14" s="14">
        <f>7.62+8.48+7.96+8.1</f>
        <v>32.16</v>
      </c>
      <c r="I14" s="15">
        <v>4</v>
      </c>
      <c r="J14" s="30">
        <f t="shared" si="0"/>
        <v>54.56</v>
      </c>
      <c r="K14" s="43">
        <f t="shared" si="1"/>
        <v>8</v>
      </c>
      <c r="N14" s="39"/>
      <c r="O14" s="39"/>
    </row>
    <row r="15" s="3" customFormat="1" ht="22.5" customHeight="1" spans="1:15">
      <c r="A15" s="13" t="s">
        <v>26</v>
      </c>
      <c r="B15" s="14">
        <v>6.2</v>
      </c>
      <c r="C15" s="15">
        <v>1</v>
      </c>
      <c r="D15" s="14">
        <v>2.86</v>
      </c>
      <c r="E15" s="15">
        <v>1</v>
      </c>
      <c r="F15" s="14">
        <f>7.04+6.32</f>
        <v>13.36</v>
      </c>
      <c r="G15" s="15">
        <v>2</v>
      </c>
      <c r="H15" s="14">
        <f>7.32+8.28+8.22+7.54</f>
        <v>31.36</v>
      </c>
      <c r="I15" s="15">
        <v>4</v>
      </c>
      <c r="J15" s="30">
        <f t="shared" si="0"/>
        <v>53.78</v>
      </c>
      <c r="K15" s="43">
        <f t="shared" si="1"/>
        <v>8</v>
      </c>
      <c r="N15" s="39"/>
      <c r="O15" s="39"/>
    </row>
    <row r="16" s="3" customFormat="1" ht="22.5" customHeight="1" spans="1:15">
      <c r="A16" s="13" t="s">
        <v>27</v>
      </c>
      <c r="B16" s="14">
        <v>8.4</v>
      </c>
      <c r="C16" s="15">
        <v>1</v>
      </c>
      <c r="D16" s="14">
        <v>3.74</v>
      </c>
      <c r="E16" s="15">
        <v>1</v>
      </c>
      <c r="F16" s="14">
        <f>6.84+6.14+6.02</f>
        <v>19</v>
      </c>
      <c r="G16" s="15">
        <v>3</v>
      </c>
      <c r="H16" s="14">
        <f>7.66+8.08+7.88+7.64</f>
        <v>31.26</v>
      </c>
      <c r="I16" s="15">
        <v>4</v>
      </c>
      <c r="J16" s="30">
        <f t="shared" si="0"/>
        <v>62.4</v>
      </c>
      <c r="K16" s="43">
        <f t="shared" si="1"/>
        <v>9</v>
      </c>
      <c r="N16" s="39"/>
      <c r="O16" s="39"/>
    </row>
    <row r="17" s="3" customFormat="1" ht="22.5" customHeight="1" spans="1:15">
      <c r="A17" s="13" t="s">
        <v>28</v>
      </c>
      <c r="B17" s="14">
        <v>6.88</v>
      </c>
      <c r="C17" s="15">
        <v>1</v>
      </c>
      <c r="D17" s="14">
        <v>3.54</v>
      </c>
      <c r="E17" s="15">
        <v>1</v>
      </c>
      <c r="F17" s="14">
        <f>5.2+5.74</f>
        <v>10.94</v>
      </c>
      <c r="G17" s="15">
        <v>2</v>
      </c>
      <c r="H17" s="14">
        <f>7.7+8.1+7.98+8.04</f>
        <v>31.82</v>
      </c>
      <c r="I17" s="15">
        <v>4</v>
      </c>
      <c r="J17" s="30">
        <f t="shared" si="0"/>
        <v>53.18</v>
      </c>
      <c r="K17" s="43">
        <f t="shared" si="1"/>
        <v>8</v>
      </c>
      <c r="N17" s="39"/>
      <c r="O17" s="39"/>
    </row>
    <row r="18" s="3" customFormat="1" ht="22.5" customHeight="1" spans="1:15">
      <c r="A18" s="13" t="s">
        <v>29</v>
      </c>
      <c r="B18" s="14">
        <v>0</v>
      </c>
      <c r="C18" s="15">
        <v>0</v>
      </c>
      <c r="D18" s="14">
        <v>2.94</v>
      </c>
      <c r="E18" s="15">
        <v>1</v>
      </c>
      <c r="F18" s="14">
        <f>4.6+5.16</f>
        <v>9.76</v>
      </c>
      <c r="G18" s="15">
        <v>2</v>
      </c>
      <c r="H18" s="14">
        <f>7.62+8.02+8.64+7.06</f>
        <v>31.34</v>
      </c>
      <c r="I18" s="15">
        <v>4</v>
      </c>
      <c r="J18" s="30">
        <f t="shared" si="0"/>
        <v>44.04</v>
      </c>
      <c r="K18" s="43">
        <f t="shared" si="1"/>
        <v>7</v>
      </c>
      <c r="N18" s="39"/>
      <c r="O18" s="39"/>
    </row>
    <row r="19" s="3" customFormat="1" ht="22.5" customHeight="1" spans="1:15">
      <c r="A19" s="13" t="s">
        <v>30</v>
      </c>
      <c r="B19" s="14">
        <f>7.28+6.06</f>
        <v>13.34</v>
      </c>
      <c r="C19" s="15">
        <v>2</v>
      </c>
      <c r="D19" s="14">
        <v>0</v>
      </c>
      <c r="E19" s="15">
        <v>0</v>
      </c>
      <c r="F19" s="14">
        <v>0</v>
      </c>
      <c r="G19" s="15">
        <v>0</v>
      </c>
      <c r="H19" s="14">
        <f>7.44+7.9+9.56+8.98</f>
        <v>33.88</v>
      </c>
      <c r="I19" s="15">
        <v>4</v>
      </c>
      <c r="J19" s="30">
        <f t="shared" si="0"/>
        <v>47.22</v>
      </c>
      <c r="K19" s="43">
        <f t="shared" si="1"/>
        <v>6</v>
      </c>
      <c r="N19" s="39"/>
      <c r="O19" s="39"/>
    </row>
    <row r="20" s="3" customFormat="1" ht="22.5" customHeight="1" spans="1:15">
      <c r="A20" s="13" t="s">
        <v>31</v>
      </c>
      <c r="B20" s="14">
        <v>0</v>
      </c>
      <c r="C20" s="15">
        <v>0</v>
      </c>
      <c r="D20" s="14">
        <v>4.2</v>
      </c>
      <c r="E20" s="15">
        <v>1</v>
      </c>
      <c r="F20" s="14">
        <v>5.32</v>
      </c>
      <c r="G20" s="15">
        <v>1</v>
      </c>
      <c r="H20" s="14">
        <f>7.7+7.94+7.86+8.3</f>
        <v>31.8</v>
      </c>
      <c r="I20" s="15">
        <v>4</v>
      </c>
      <c r="J20" s="30">
        <f t="shared" si="0"/>
        <v>41.32</v>
      </c>
      <c r="K20" s="43">
        <f t="shared" si="1"/>
        <v>6</v>
      </c>
      <c r="N20" s="39"/>
      <c r="O20" s="39"/>
    </row>
    <row r="21" s="3" customFormat="1" ht="22.5" customHeight="1" spans="1:15">
      <c r="A21" s="13" t="s">
        <v>32</v>
      </c>
      <c r="B21" s="14">
        <f>9.3+4.4</f>
        <v>13.7</v>
      </c>
      <c r="C21" s="15">
        <v>2</v>
      </c>
      <c r="D21" s="14">
        <v>2.9</v>
      </c>
      <c r="E21" s="15">
        <v>1</v>
      </c>
      <c r="F21" s="14">
        <v>5.72</v>
      </c>
      <c r="G21" s="15">
        <v>1</v>
      </c>
      <c r="H21" s="14">
        <f>7.5+7.54+8+8.24</f>
        <v>31.28</v>
      </c>
      <c r="I21" s="15">
        <v>4</v>
      </c>
      <c r="J21" s="30">
        <f t="shared" si="0"/>
        <v>53.6</v>
      </c>
      <c r="K21" s="43">
        <f t="shared" si="1"/>
        <v>8</v>
      </c>
      <c r="N21" s="39"/>
      <c r="O21" s="39"/>
    </row>
    <row r="22" s="3" customFormat="1" ht="22.5" customHeight="1" spans="1:15">
      <c r="A22" s="13" t="s">
        <v>33</v>
      </c>
      <c r="B22" s="14">
        <v>8.34</v>
      </c>
      <c r="C22" s="15">
        <v>1</v>
      </c>
      <c r="D22" s="14">
        <v>3.34</v>
      </c>
      <c r="E22" s="15">
        <v>1</v>
      </c>
      <c r="F22" s="14">
        <v>5.2</v>
      </c>
      <c r="G22" s="15">
        <v>1</v>
      </c>
      <c r="H22" s="14">
        <f>7.58+8.6+7.72+8.62</f>
        <v>32.52</v>
      </c>
      <c r="I22" s="15">
        <v>4</v>
      </c>
      <c r="J22" s="30">
        <f t="shared" si="0"/>
        <v>49.4</v>
      </c>
      <c r="K22" s="43">
        <f t="shared" si="1"/>
        <v>7</v>
      </c>
      <c r="N22" s="39"/>
      <c r="O22" s="39"/>
    </row>
    <row r="23" s="3" customFormat="1" ht="22.5" customHeight="1" spans="1:15">
      <c r="A23" s="13" t="s">
        <v>34</v>
      </c>
      <c r="B23" s="14">
        <v>0</v>
      </c>
      <c r="C23" s="15">
        <v>0</v>
      </c>
      <c r="D23" s="14">
        <v>3.4</v>
      </c>
      <c r="E23" s="15">
        <v>1</v>
      </c>
      <c r="F23" s="14">
        <v>5.84</v>
      </c>
      <c r="G23" s="15">
        <v>1</v>
      </c>
      <c r="H23" s="14">
        <f>7.48+7.44+7.68+8.3</f>
        <v>30.9</v>
      </c>
      <c r="I23" s="15">
        <v>4</v>
      </c>
      <c r="J23" s="30">
        <f t="shared" si="0"/>
        <v>40.14</v>
      </c>
      <c r="K23" s="43">
        <f t="shared" si="1"/>
        <v>6</v>
      </c>
      <c r="N23" s="39"/>
      <c r="O23" s="39"/>
    </row>
    <row r="24" s="3" customFormat="1" ht="22.5" customHeight="1" spans="1:15">
      <c r="A24" s="13" t="s">
        <v>35</v>
      </c>
      <c r="B24" s="14">
        <f>7.22+8.16</f>
        <v>15.38</v>
      </c>
      <c r="C24" s="15">
        <v>2</v>
      </c>
      <c r="D24" s="14">
        <v>3</v>
      </c>
      <c r="E24" s="15">
        <v>1</v>
      </c>
      <c r="F24" s="14">
        <v>3.38</v>
      </c>
      <c r="G24" s="15">
        <v>1</v>
      </c>
      <c r="H24" s="14">
        <f>7.4+8.96+7.6+8.02</f>
        <v>31.98</v>
      </c>
      <c r="I24" s="15">
        <v>4</v>
      </c>
      <c r="J24" s="30">
        <f t="shared" si="0"/>
        <v>53.74</v>
      </c>
      <c r="K24" s="43">
        <f t="shared" si="1"/>
        <v>8</v>
      </c>
      <c r="N24" s="39"/>
      <c r="O24" s="39"/>
    </row>
    <row r="25" s="3" customFormat="1" ht="22.5" customHeight="1" spans="1:15">
      <c r="A25" s="13" t="s">
        <v>36</v>
      </c>
      <c r="B25" s="14">
        <v>6.62</v>
      </c>
      <c r="C25" s="15">
        <v>1</v>
      </c>
      <c r="D25" s="14">
        <v>3.22</v>
      </c>
      <c r="E25" s="15">
        <v>1</v>
      </c>
      <c r="F25" s="14">
        <v>5.32</v>
      </c>
      <c r="G25" s="15">
        <v>1</v>
      </c>
      <c r="H25" s="14">
        <f>7.76+7.68+8.86+9.12</f>
        <v>33.42</v>
      </c>
      <c r="I25" s="15">
        <v>4</v>
      </c>
      <c r="J25" s="30">
        <f t="shared" si="0"/>
        <v>48.58</v>
      </c>
      <c r="K25" s="43">
        <f t="shared" si="1"/>
        <v>7</v>
      </c>
      <c r="N25" s="39"/>
      <c r="O25" s="39"/>
    </row>
    <row r="26" s="3" customFormat="1" ht="22.5" customHeight="1" spans="1:15">
      <c r="A26" s="13" t="s">
        <v>37</v>
      </c>
      <c r="B26" s="14">
        <v>0</v>
      </c>
      <c r="C26" s="15">
        <v>0</v>
      </c>
      <c r="D26" s="14">
        <v>3.76</v>
      </c>
      <c r="E26" s="15">
        <v>1</v>
      </c>
      <c r="F26" s="14">
        <v>5.46</v>
      </c>
      <c r="G26" s="15">
        <v>1</v>
      </c>
      <c r="H26" s="14">
        <f>7.78+7.96+7.9+9.04</f>
        <v>32.68</v>
      </c>
      <c r="I26" s="15">
        <v>4</v>
      </c>
      <c r="J26" s="30">
        <f t="shared" si="0"/>
        <v>41.9</v>
      </c>
      <c r="K26" s="43">
        <f t="shared" si="1"/>
        <v>6</v>
      </c>
      <c r="N26" s="39"/>
      <c r="O26" s="39"/>
    </row>
    <row r="27" s="3" customFormat="1" ht="22.5" customHeight="1" spans="1:15">
      <c r="A27" s="13" t="s">
        <v>38</v>
      </c>
      <c r="B27" s="14">
        <f>6.74+6.16</f>
        <v>12.9</v>
      </c>
      <c r="C27" s="15">
        <v>2</v>
      </c>
      <c r="D27" s="14">
        <v>0</v>
      </c>
      <c r="E27" s="15">
        <v>0</v>
      </c>
      <c r="F27" s="14">
        <f>4.8+4.78</f>
        <v>9.58</v>
      </c>
      <c r="G27" s="15">
        <v>2</v>
      </c>
      <c r="H27" s="14">
        <f>7.78+8.14+7.92+8.98</f>
        <v>32.82</v>
      </c>
      <c r="I27" s="15">
        <v>4</v>
      </c>
      <c r="J27" s="30">
        <f t="shared" si="0"/>
        <v>55.3</v>
      </c>
      <c r="K27" s="43">
        <f t="shared" si="1"/>
        <v>8</v>
      </c>
      <c r="N27" s="39"/>
      <c r="O27" s="39"/>
    </row>
    <row r="28" s="3" customFormat="1" ht="22.5" customHeight="1" spans="1:11">
      <c r="A28" s="13" t="s">
        <v>39</v>
      </c>
      <c r="B28" s="14">
        <v>7.34</v>
      </c>
      <c r="C28" s="15">
        <v>1</v>
      </c>
      <c r="D28" s="14">
        <v>2.2</v>
      </c>
      <c r="E28" s="15">
        <v>1</v>
      </c>
      <c r="F28" s="14">
        <v>4</v>
      </c>
      <c r="G28" s="15">
        <v>1</v>
      </c>
      <c r="H28" s="14">
        <f>7.54+8.04+9.36+7.58</f>
        <v>32.52</v>
      </c>
      <c r="I28" s="15">
        <v>4</v>
      </c>
      <c r="J28" s="30">
        <f t="shared" si="0"/>
        <v>46.06</v>
      </c>
      <c r="K28" s="43">
        <f t="shared" si="1"/>
        <v>7</v>
      </c>
    </row>
    <row r="29" s="3" customFormat="1" ht="22.5" customHeight="1" spans="1:11">
      <c r="A29" s="13" t="s">
        <v>40</v>
      </c>
      <c r="B29" s="14">
        <v>6.64</v>
      </c>
      <c r="C29" s="15">
        <v>1</v>
      </c>
      <c r="D29" s="14">
        <v>3.16</v>
      </c>
      <c r="E29" s="15">
        <v>1</v>
      </c>
      <c r="F29" s="14">
        <v>5.9</v>
      </c>
      <c r="G29" s="15">
        <v>1</v>
      </c>
      <c r="H29" s="14">
        <f>7.7+7.94+8.14+7.96</f>
        <v>31.74</v>
      </c>
      <c r="I29" s="15">
        <v>4</v>
      </c>
      <c r="J29" s="30">
        <f t="shared" si="0"/>
        <v>47.44</v>
      </c>
      <c r="K29" s="43">
        <f t="shared" si="1"/>
        <v>7</v>
      </c>
    </row>
    <row r="30" s="3" customFormat="1" ht="22.5" customHeight="1" spans="1:11">
      <c r="A30" s="13" t="s">
        <v>41</v>
      </c>
      <c r="B30" s="14">
        <v>7.3</v>
      </c>
      <c r="C30" s="15">
        <v>1</v>
      </c>
      <c r="D30" s="14">
        <v>3.46</v>
      </c>
      <c r="E30" s="15">
        <v>1</v>
      </c>
      <c r="F30" s="14">
        <v>5.2</v>
      </c>
      <c r="G30" s="15">
        <v>1</v>
      </c>
      <c r="H30" s="14">
        <f>7.96+7.92+9.36+9.5</f>
        <v>34.74</v>
      </c>
      <c r="I30" s="15">
        <v>4</v>
      </c>
      <c r="J30" s="30">
        <f t="shared" si="0"/>
        <v>50.7</v>
      </c>
      <c r="K30" s="43">
        <f t="shared" si="1"/>
        <v>7</v>
      </c>
    </row>
    <row r="31" s="3" customFormat="1" ht="22.5" customHeight="1" spans="1:11">
      <c r="A31" s="13" t="s">
        <v>42</v>
      </c>
      <c r="B31" s="14">
        <v>7.34</v>
      </c>
      <c r="C31" s="15">
        <v>1</v>
      </c>
      <c r="D31" s="14">
        <v>3.8</v>
      </c>
      <c r="E31" s="15">
        <v>1</v>
      </c>
      <c r="F31" s="14">
        <v>4.2</v>
      </c>
      <c r="G31" s="15">
        <v>1</v>
      </c>
      <c r="H31" s="14">
        <f>6.7+8.96+7.1+8.8</f>
        <v>31.56</v>
      </c>
      <c r="I31" s="15">
        <v>4</v>
      </c>
      <c r="J31" s="30">
        <f t="shared" si="0"/>
        <v>46.9</v>
      </c>
      <c r="K31" s="43">
        <f t="shared" si="1"/>
        <v>7</v>
      </c>
    </row>
    <row r="32" s="3" customFormat="1" ht="22.5" customHeight="1" spans="1:11">
      <c r="A32" s="13" t="s">
        <v>43</v>
      </c>
      <c r="B32" s="14">
        <v>0</v>
      </c>
      <c r="C32" s="15">
        <v>0</v>
      </c>
      <c r="D32" s="14">
        <v>2.96</v>
      </c>
      <c r="E32" s="15">
        <v>1</v>
      </c>
      <c r="F32" s="14">
        <v>6.14</v>
      </c>
      <c r="G32" s="15">
        <v>1</v>
      </c>
      <c r="H32" s="14">
        <f>6.64+7.28+9.88+10.4</f>
        <v>34.2</v>
      </c>
      <c r="I32" s="15">
        <v>4</v>
      </c>
      <c r="J32" s="30">
        <f t="shared" si="0"/>
        <v>43.3</v>
      </c>
      <c r="K32" s="43">
        <f t="shared" si="1"/>
        <v>6</v>
      </c>
    </row>
    <row r="33" s="3" customFormat="1" ht="22.5" customHeight="1" spans="1:11">
      <c r="A33" s="13" t="s">
        <v>44</v>
      </c>
      <c r="B33" s="14">
        <f>7.04+5.5</f>
        <v>12.54</v>
      </c>
      <c r="C33" s="15">
        <v>2</v>
      </c>
      <c r="D33" s="14">
        <v>2.94</v>
      </c>
      <c r="E33" s="15">
        <v>1</v>
      </c>
      <c r="F33" s="14">
        <v>5.6</v>
      </c>
      <c r="G33" s="15">
        <v>1</v>
      </c>
      <c r="H33" s="14">
        <f>7.02+8.26+7.22+9.5</f>
        <v>32</v>
      </c>
      <c r="I33" s="15">
        <v>4</v>
      </c>
      <c r="J33" s="30">
        <f t="shared" si="0"/>
        <v>53.08</v>
      </c>
      <c r="K33" s="43">
        <f t="shared" si="1"/>
        <v>8</v>
      </c>
    </row>
    <row r="34" s="3" customFormat="1" ht="22.5" customHeight="1" spans="1:11">
      <c r="A34" s="13" t="s">
        <v>45</v>
      </c>
      <c r="B34" s="14">
        <v>5.6</v>
      </c>
      <c r="C34" s="15">
        <v>1</v>
      </c>
      <c r="D34" s="14">
        <v>0</v>
      </c>
      <c r="E34" s="15">
        <v>0</v>
      </c>
      <c r="F34" s="14">
        <v>5.08</v>
      </c>
      <c r="G34" s="15">
        <v>1</v>
      </c>
      <c r="H34" s="14">
        <f>6.98+8.52+6.84+8.86</f>
        <v>31.2</v>
      </c>
      <c r="I34" s="15">
        <v>4</v>
      </c>
      <c r="J34" s="30">
        <f t="shared" si="0"/>
        <v>41.88</v>
      </c>
      <c r="K34" s="43">
        <f t="shared" si="1"/>
        <v>6</v>
      </c>
    </row>
    <row r="35" s="3" customFormat="1" ht="22.5" customHeight="1" spans="1:11">
      <c r="A35" s="13" t="s">
        <v>46</v>
      </c>
      <c r="B35" s="14">
        <v>7.46</v>
      </c>
      <c r="C35" s="15">
        <v>1</v>
      </c>
      <c r="D35" s="14">
        <v>3.54</v>
      </c>
      <c r="E35" s="15">
        <v>1</v>
      </c>
      <c r="F35" s="14">
        <v>4.76</v>
      </c>
      <c r="G35" s="15">
        <v>1</v>
      </c>
      <c r="H35" s="14">
        <f>6.94+8.8+7.1+8.74</f>
        <v>31.58</v>
      </c>
      <c r="I35" s="15">
        <v>4</v>
      </c>
      <c r="J35" s="30">
        <f>B35+D35+F35+H35</f>
        <v>47.34</v>
      </c>
      <c r="K35" s="43">
        <f>C35+E35+G35+I35</f>
        <v>7</v>
      </c>
    </row>
    <row r="36" s="3" customFormat="1" ht="25.5" customHeight="1" spans="1:15">
      <c r="A36" s="16" t="s">
        <v>13</v>
      </c>
      <c r="B36" s="17">
        <f t="shared" ref="B36:K36" si="2">SUM(B5:B35)</f>
        <v>218.1</v>
      </c>
      <c r="C36" s="41">
        <f t="shared" si="2"/>
        <v>32</v>
      </c>
      <c r="D36" s="17">
        <f t="shared" si="2"/>
        <v>87.42</v>
      </c>
      <c r="E36" s="41">
        <f t="shared" si="2"/>
        <v>26</v>
      </c>
      <c r="F36" s="17">
        <f t="shared" si="2"/>
        <v>271.12</v>
      </c>
      <c r="G36" s="41">
        <f t="shared" si="2"/>
        <v>47</v>
      </c>
      <c r="H36" s="17">
        <f t="shared" si="2"/>
        <v>997.48</v>
      </c>
      <c r="I36" s="41">
        <f t="shared" si="2"/>
        <v>123</v>
      </c>
      <c r="J36" s="17">
        <f t="shared" si="2"/>
        <v>1574.12</v>
      </c>
      <c r="K36" s="41">
        <f t="shared" si="2"/>
        <v>228</v>
      </c>
      <c r="M36" s="31"/>
      <c r="N36" s="31"/>
      <c r="O36" s="31"/>
    </row>
    <row r="37" s="4" customFormat="1" ht="21" customHeight="1" spans="1:13">
      <c r="A37" s="23" t="s">
        <v>70</v>
      </c>
      <c r="B37" s="23"/>
      <c r="C37" s="23"/>
      <c r="D37" s="24"/>
      <c r="E37" s="24"/>
      <c r="F37" s="24"/>
      <c r="G37" s="24"/>
      <c r="H37" s="24"/>
      <c r="I37" s="24"/>
      <c r="J37" s="35"/>
      <c r="K37" s="35"/>
      <c r="M37" s="44"/>
    </row>
    <row r="38" spans="1:13">
      <c r="A38" s="25"/>
      <c r="B38" s="25"/>
      <c r="C38" s="25"/>
      <c r="D38" s="25"/>
      <c r="E38" s="25"/>
      <c r="F38" s="25"/>
      <c r="G38" s="25"/>
      <c r="H38" s="25"/>
      <c r="I38" s="25"/>
      <c r="M38" s="37"/>
    </row>
    <row r="39" spans="1:11">
      <c r="A39" s="26"/>
      <c r="B39" s="26"/>
      <c r="C39" s="26"/>
      <c r="D39" s="26"/>
      <c r="E39" s="26"/>
      <c r="F39" s="26"/>
      <c r="G39" s="26"/>
      <c r="H39" s="26"/>
      <c r="I39" s="26"/>
      <c r="J39" s="37"/>
      <c r="K39" s="37"/>
    </row>
    <row r="40" spans="1:11">
      <c r="A40" s="26"/>
      <c r="B40" s="26"/>
      <c r="C40" s="26"/>
      <c r="D40" s="26"/>
      <c r="E40" s="26"/>
      <c r="F40" s="26"/>
      <c r="G40" s="26"/>
      <c r="H40" s="26"/>
      <c r="I40" s="26"/>
      <c r="J40" s="38"/>
      <c r="K40" s="38"/>
    </row>
    <row r="41" spans="1:11">
      <c r="A41" s="26"/>
      <c r="B41" s="26"/>
      <c r="C41" s="26"/>
      <c r="D41" s="26"/>
      <c r="E41" s="26"/>
      <c r="F41" s="26"/>
      <c r="G41" s="26"/>
      <c r="H41" s="42"/>
      <c r="I41" s="42"/>
      <c r="J41" s="38"/>
      <c r="K41" s="38"/>
    </row>
  </sheetData>
  <mergeCells count="9">
    <mergeCell ref="A1:K1"/>
    <mergeCell ref="D2:K2"/>
    <mergeCell ref="B3:C3"/>
    <mergeCell ref="D3:E3"/>
    <mergeCell ref="F3:G3"/>
    <mergeCell ref="H3:I3"/>
    <mergeCell ref="J3:K3"/>
    <mergeCell ref="A38:D38"/>
    <mergeCell ref="A3:A4"/>
  </mergeCells>
  <pageMargins left="0.32" right="0.22" top="0.22" bottom="0.23" header="0.21" footer="0.2"/>
  <pageSetup paperSize="9" scale="90" orientation="portrait" horizontalDpi="600" verticalDpi="600"/>
  <headerFooter alignWithMargins="0" scaleWithDoc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1"/>
  </sheetPr>
  <dimension ref="A1:R42"/>
  <sheetViews>
    <sheetView zoomScale="85" zoomScaleNormal="85" zoomScaleSheetLayoutView="60" workbookViewId="0">
      <pane ySplit="4" topLeftCell="A21" activePane="bottomLeft" state="frozen"/>
      <selection/>
      <selection pane="bottomLeft" activeCell="L25" sqref="L25:M35"/>
    </sheetView>
  </sheetViews>
  <sheetFormatPr defaultColWidth="9" defaultRowHeight="14.25"/>
  <cols>
    <col min="1" max="1" width="5.375" style="1" customWidth="1"/>
    <col min="2" max="2" width="9.875" style="1" customWidth="1"/>
    <col min="3" max="3" width="5.75" style="1" customWidth="1"/>
    <col min="4" max="4" width="9.625" style="1" customWidth="1"/>
    <col min="5" max="5" width="7.625" style="1" customWidth="1"/>
    <col min="6" max="6" width="9.75" style="1" customWidth="1"/>
    <col min="7" max="7" width="5.625" style="1" customWidth="1"/>
    <col min="8" max="8" width="10.125" style="1" customWidth="1"/>
    <col min="9" max="9" width="5.875" style="1" customWidth="1"/>
    <col min="10" max="10" width="9.375" style="1" customWidth="1"/>
    <col min="11" max="11" width="5.75" style="1" customWidth="1"/>
    <col min="12" max="12" width="11.875" style="1" customWidth="1"/>
    <col min="13" max="13" width="7" style="1" customWidth="1"/>
    <col min="14" max="14" width="9" style="1"/>
    <col min="15" max="15" width="11.625" style="1"/>
    <col min="16" max="16" width="9.5" style="1"/>
    <col min="17" max="17" width="11.625" style="1"/>
    <col min="18" max="18" width="10.5" style="1"/>
    <col min="19" max="16384" width="9" style="1"/>
  </cols>
  <sheetData>
    <row r="1" s="1" customFormat="1" ht="35.25" customHeight="1" spans="1:13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="2" customFormat="1" ht="30" customHeight="1" spans="1:13">
      <c r="A2" s="6">
        <v>1000</v>
      </c>
      <c r="B2" s="6"/>
      <c r="C2" s="6"/>
      <c r="D2" s="7"/>
      <c r="E2" s="7"/>
      <c r="F2" s="7"/>
      <c r="G2" s="7"/>
      <c r="H2" s="7"/>
      <c r="I2" s="7"/>
      <c r="J2" s="7"/>
      <c r="K2" s="7"/>
      <c r="L2" s="27" t="s">
        <v>1</v>
      </c>
      <c r="M2" s="27"/>
    </row>
    <row r="3" s="2" customFormat="1" ht="37.5" customHeight="1" spans="1:13">
      <c r="A3" s="8" t="s">
        <v>2</v>
      </c>
      <c r="B3" s="9" t="s">
        <v>71</v>
      </c>
      <c r="C3" s="10"/>
      <c r="D3" s="9" t="s">
        <v>72</v>
      </c>
      <c r="E3" s="10"/>
      <c r="F3" s="9" t="s">
        <v>73</v>
      </c>
      <c r="G3" s="10"/>
      <c r="H3" s="9" t="s">
        <v>74</v>
      </c>
      <c r="I3" s="10"/>
      <c r="J3" s="9" t="s">
        <v>75</v>
      </c>
      <c r="K3" s="10"/>
      <c r="L3" s="28" t="s">
        <v>13</v>
      </c>
      <c r="M3" s="29"/>
    </row>
    <row r="4" s="2" customFormat="1" ht="24.75" customHeight="1" spans="1:13">
      <c r="A4" s="11"/>
      <c r="B4" s="11" t="s">
        <v>14</v>
      </c>
      <c r="C4" s="11" t="s">
        <v>15</v>
      </c>
      <c r="D4" s="11" t="s">
        <v>14</v>
      </c>
      <c r="E4" s="11" t="s">
        <v>15</v>
      </c>
      <c r="F4" s="11" t="s">
        <v>14</v>
      </c>
      <c r="G4" s="11" t="s">
        <v>15</v>
      </c>
      <c r="H4" s="12" t="s">
        <v>14</v>
      </c>
      <c r="I4" s="12" t="s">
        <v>15</v>
      </c>
      <c r="J4" s="12" t="s">
        <v>14</v>
      </c>
      <c r="K4" s="12" t="s">
        <v>15</v>
      </c>
      <c r="L4" s="12" t="s">
        <v>14</v>
      </c>
      <c r="M4" s="12" t="s">
        <v>15</v>
      </c>
    </row>
    <row r="5" s="3" customFormat="1" ht="22.5" customHeight="1" spans="1:13">
      <c r="A5" s="13" t="s">
        <v>16</v>
      </c>
      <c r="B5" s="14">
        <v>0</v>
      </c>
      <c r="C5" s="15">
        <v>0</v>
      </c>
      <c r="D5" s="14">
        <v>6.66</v>
      </c>
      <c r="E5" s="15">
        <v>1</v>
      </c>
      <c r="F5" s="14">
        <v>2.84</v>
      </c>
      <c r="G5" s="15">
        <v>1</v>
      </c>
      <c r="H5" s="14">
        <v>0</v>
      </c>
      <c r="I5" s="15">
        <v>0</v>
      </c>
      <c r="J5" s="14">
        <v>4.02</v>
      </c>
      <c r="K5" s="15">
        <v>1</v>
      </c>
      <c r="L5" s="30">
        <f t="shared" ref="L5:L33" si="0">B5+D5+F5+H5+J5</f>
        <v>13.52</v>
      </c>
      <c r="M5" s="15">
        <f t="shared" ref="M5:M33" si="1">C5+E5+G5+I5+K5</f>
        <v>3</v>
      </c>
    </row>
    <row r="6" s="3" customFormat="1" ht="22.5" customHeight="1" spans="1:13">
      <c r="A6" s="13" t="s">
        <v>17</v>
      </c>
      <c r="B6" s="14">
        <v>0</v>
      </c>
      <c r="C6" s="15">
        <v>0</v>
      </c>
      <c r="D6" s="14">
        <v>6.24</v>
      </c>
      <c r="E6" s="15">
        <v>1</v>
      </c>
      <c r="F6" s="14">
        <v>3.52</v>
      </c>
      <c r="G6" s="15">
        <v>1</v>
      </c>
      <c r="H6" s="14">
        <v>0</v>
      </c>
      <c r="I6" s="15">
        <v>0</v>
      </c>
      <c r="J6" s="14">
        <v>4.32</v>
      </c>
      <c r="K6" s="15">
        <v>1</v>
      </c>
      <c r="L6" s="30">
        <f t="shared" si="0"/>
        <v>14.08</v>
      </c>
      <c r="M6" s="15">
        <f t="shared" si="1"/>
        <v>3</v>
      </c>
    </row>
    <row r="7" s="3" customFormat="1" ht="22.5" customHeight="1" spans="1:13">
      <c r="A7" s="13" t="s">
        <v>18</v>
      </c>
      <c r="B7" s="14">
        <v>0</v>
      </c>
      <c r="C7" s="15">
        <v>0</v>
      </c>
      <c r="D7" s="14">
        <v>7.46</v>
      </c>
      <c r="E7" s="15">
        <v>1</v>
      </c>
      <c r="F7" s="14">
        <f>2.52+2.68</f>
        <v>5.2</v>
      </c>
      <c r="G7" s="15">
        <v>2</v>
      </c>
      <c r="H7" s="14">
        <v>0</v>
      </c>
      <c r="I7" s="15">
        <v>0</v>
      </c>
      <c r="J7" s="14">
        <f>4.16+3</f>
        <v>7.16</v>
      </c>
      <c r="K7" s="15">
        <v>2</v>
      </c>
      <c r="L7" s="30">
        <f t="shared" si="0"/>
        <v>19.82</v>
      </c>
      <c r="M7" s="15">
        <f t="shared" si="1"/>
        <v>5</v>
      </c>
    </row>
    <row r="8" s="3" customFormat="1" ht="22.5" customHeight="1" spans="1:13">
      <c r="A8" s="13" t="s">
        <v>19</v>
      </c>
      <c r="B8" s="14">
        <v>0</v>
      </c>
      <c r="C8" s="15">
        <v>0</v>
      </c>
      <c r="D8" s="14">
        <v>8.18</v>
      </c>
      <c r="E8" s="15">
        <v>1</v>
      </c>
      <c r="F8" s="14">
        <f>1.6+3.22</f>
        <v>4.82</v>
      </c>
      <c r="G8" s="15">
        <v>2</v>
      </c>
      <c r="H8" s="14">
        <v>0</v>
      </c>
      <c r="I8" s="15">
        <v>0</v>
      </c>
      <c r="J8" s="14">
        <f>2.96+3.12</f>
        <v>6.08</v>
      </c>
      <c r="K8" s="15">
        <v>2</v>
      </c>
      <c r="L8" s="30">
        <f t="shared" si="0"/>
        <v>19.08</v>
      </c>
      <c r="M8" s="15">
        <f t="shared" si="1"/>
        <v>5</v>
      </c>
    </row>
    <row r="9" s="3" customFormat="1" ht="22.5" customHeight="1" spans="1:13">
      <c r="A9" s="13" t="s">
        <v>20</v>
      </c>
      <c r="B9" s="14">
        <v>0</v>
      </c>
      <c r="C9" s="15">
        <v>0</v>
      </c>
      <c r="D9" s="14">
        <v>8.8</v>
      </c>
      <c r="E9" s="15">
        <v>1</v>
      </c>
      <c r="F9" s="14">
        <f>2.12+2.64</f>
        <v>4.76</v>
      </c>
      <c r="G9" s="15">
        <v>2</v>
      </c>
      <c r="H9" s="14">
        <v>0</v>
      </c>
      <c r="I9" s="15">
        <v>0</v>
      </c>
      <c r="J9" s="14">
        <f>3+2.96</f>
        <v>5.96</v>
      </c>
      <c r="K9" s="15">
        <v>2</v>
      </c>
      <c r="L9" s="30">
        <f t="shared" si="0"/>
        <v>19.52</v>
      </c>
      <c r="M9" s="15">
        <f t="shared" si="1"/>
        <v>5</v>
      </c>
    </row>
    <row r="10" s="3" customFormat="1" ht="22.5" customHeight="1" spans="1:18">
      <c r="A10" s="13" t="s">
        <v>21</v>
      </c>
      <c r="B10" s="14">
        <v>0</v>
      </c>
      <c r="C10" s="15">
        <v>0</v>
      </c>
      <c r="D10" s="14">
        <v>8.92</v>
      </c>
      <c r="E10" s="15">
        <v>1</v>
      </c>
      <c r="F10" s="14">
        <f>1.7+2.64</f>
        <v>4.34</v>
      </c>
      <c r="G10" s="15">
        <v>2</v>
      </c>
      <c r="H10" s="14">
        <v>0</v>
      </c>
      <c r="I10" s="15">
        <v>0</v>
      </c>
      <c r="J10" s="14">
        <f>2.78+2.9</f>
        <v>5.68</v>
      </c>
      <c r="K10" s="15">
        <v>2</v>
      </c>
      <c r="L10" s="30">
        <f t="shared" si="0"/>
        <v>18.94</v>
      </c>
      <c r="M10" s="15">
        <f t="shared" si="1"/>
        <v>5</v>
      </c>
      <c r="Q10" s="39"/>
      <c r="R10" s="39"/>
    </row>
    <row r="11" s="3" customFormat="1" ht="22.5" customHeight="1" spans="1:18">
      <c r="A11" s="13" t="s">
        <v>22</v>
      </c>
      <c r="B11" s="14">
        <v>0</v>
      </c>
      <c r="C11" s="15">
        <v>0</v>
      </c>
      <c r="D11" s="14">
        <v>8.18</v>
      </c>
      <c r="E11" s="15">
        <v>1</v>
      </c>
      <c r="F11" s="14">
        <v>3.1</v>
      </c>
      <c r="G11" s="15">
        <v>1</v>
      </c>
      <c r="H11" s="14">
        <v>0</v>
      </c>
      <c r="I11" s="15">
        <v>0</v>
      </c>
      <c r="J11" s="14">
        <v>3.74</v>
      </c>
      <c r="K11" s="15">
        <v>1</v>
      </c>
      <c r="L11" s="30">
        <f t="shared" si="0"/>
        <v>15.02</v>
      </c>
      <c r="M11" s="15">
        <f t="shared" si="1"/>
        <v>3</v>
      </c>
      <c r="Q11" s="39"/>
      <c r="R11" s="39"/>
    </row>
    <row r="12" s="3" customFormat="1" ht="22.5" customHeight="1" spans="1:18">
      <c r="A12" s="13" t="s">
        <v>23</v>
      </c>
      <c r="B12" s="14">
        <v>0</v>
      </c>
      <c r="C12" s="15">
        <v>0</v>
      </c>
      <c r="D12" s="14">
        <v>6.08</v>
      </c>
      <c r="E12" s="15">
        <v>1</v>
      </c>
      <c r="F12" s="14">
        <v>3.08</v>
      </c>
      <c r="G12" s="15">
        <v>1</v>
      </c>
      <c r="H12" s="14">
        <v>0</v>
      </c>
      <c r="I12" s="15">
        <v>0</v>
      </c>
      <c r="J12" s="14">
        <v>2.96</v>
      </c>
      <c r="K12" s="15">
        <v>1</v>
      </c>
      <c r="L12" s="30">
        <f t="shared" si="0"/>
        <v>12.12</v>
      </c>
      <c r="M12" s="15">
        <f t="shared" si="1"/>
        <v>3</v>
      </c>
      <c r="Q12" s="39"/>
      <c r="R12" s="39"/>
    </row>
    <row r="13" s="3" customFormat="1" ht="22.5" customHeight="1" spans="1:18">
      <c r="A13" s="13" t="s">
        <v>24</v>
      </c>
      <c r="B13" s="14">
        <v>0</v>
      </c>
      <c r="C13" s="15">
        <v>0</v>
      </c>
      <c r="D13" s="14">
        <v>4.6</v>
      </c>
      <c r="E13" s="15">
        <v>1</v>
      </c>
      <c r="F13" s="14">
        <v>0</v>
      </c>
      <c r="G13" s="15">
        <v>0</v>
      </c>
      <c r="H13" s="14">
        <v>0</v>
      </c>
      <c r="I13" s="15">
        <v>0</v>
      </c>
      <c r="J13" s="14">
        <f>3.24+3.22</f>
        <v>6.46</v>
      </c>
      <c r="K13" s="15">
        <v>2</v>
      </c>
      <c r="L13" s="30">
        <f t="shared" si="0"/>
        <v>11.06</v>
      </c>
      <c r="M13" s="15">
        <f t="shared" si="1"/>
        <v>3</v>
      </c>
      <c r="Q13" s="39"/>
      <c r="R13" s="39"/>
    </row>
    <row r="14" s="3" customFormat="1" ht="22.5" customHeight="1" spans="1:18">
      <c r="A14" s="13" t="s">
        <v>25</v>
      </c>
      <c r="B14" s="14">
        <v>0</v>
      </c>
      <c r="C14" s="15">
        <v>0</v>
      </c>
      <c r="D14" s="14">
        <v>8</v>
      </c>
      <c r="E14" s="15">
        <v>1</v>
      </c>
      <c r="F14" s="14">
        <f>3.44</f>
        <v>3.44</v>
      </c>
      <c r="G14" s="15">
        <v>1</v>
      </c>
      <c r="H14" s="14">
        <v>0</v>
      </c>
      <c r="I14" s="15">
        <v>0</v>
      </c>
      <c r="J14" s="14">
        <f>3+2.62</f>
        <v>5.62</v>
      </c>
      <c r="K14" s="15">
        <v>2</v>
      </c>
      <c r="L14" s="30">
        <f t="shared" si="0"/>
        <v>17.06</v>
      </c>
      <c r="M14" s="15">
        <f t="shared" si="1"/>
        <v>4</v>
      </c>
      <c r="Q14" s="39"/>
      <c r="R14" s="39"/>
    </row>
    <row r="15" s="3" customFormat="1" ht="22.5" customHeight="1" spans="1:18">
      <c r="A15" s="13" t="s">
        <v>26</v>
      </c>
      <c r="B15" s="14">
        <v>0</v>
      </c>
      <c r="C15" s="15">
        <v>0</v>
      </c>
      <c r="D15" s="14">
        <v>8</v>
      </c>
      <c r="E15" s="15">
        <v>1</v>
      </c>
      <c r="F15" s="14">
        <v>2.72</v>
      </c>
      <c r="G15" s="15">
        <v>1</v>
      </c>
      <c r="H15" s="14">
        <v>0</v>
      </c>
      <c r="I15" s="15">
        <v>0</v>
      </c>
      <c r="J15" s="14">
        <f>2.9+2.44</f>
        <v>5.34</v>
      </c>
      <c r="K15" s="15">
        <v>2</v>
      </c>
      <c r="L15" s="30">
        <f t="shared" si="0"/>
        <v>16.06</v>
      </c>
      <c r="M15" s="15">
        <f t="shared" si="1"/>
        <v>4</v>
      </c>
      <c r="Q15" s="39"/>
      <c r="R15" s="39"/>
    </row>
    <row r="16" s="3" customFormat="1" ht="22.5" customHeight="1" spans="1:18">
      <c r="A16" s="13" t="s">
        <v>27</v>
      </c>
      <c r="B16" s="14">
        <v>0</v>
      </c>
      <c r="C16" s="15">
        <v>0</v>
      </c>
      <c r="D16" s="14">
        <v>8.14</v>
      </c>
      <c r="E16" s="15">
        <v>1</v>
      </c>
      <c r="F16" s="14">
        <f>3.14+3.16</f>
        <v>6.3</v>
      </c>
      <c r="G16" s="15">
        <v>2</v>
      </c>
      <c r="H16" s="14">
        <v>0</v>
      </c>
      <c r="I16" s="15">
        <v>0</v>
      </c>
      <c r="J16" s="14">
        <f>3.28+2.82</f>
        <v>6.1</v>
      </c>
      <c r="K16" s="15">
        <v>2</v>
      </c>
      <c r="L16" s="30">
        <f t="shared" si="0"/>
        <v>20.54</v>
      </c>
      <c r="M16" s="15">
        <f t="shared" si="1"/>
        <v>5</v>
      </c>
      <c r="Q16" s="39"/>
      <c r="R16" s="39"/>
    </row>
    <row r="17" s="3" customFormat="1" ht="22.5" customHeight="1" spans="1:18">
      <c r="A17" s="13" t="s">
        <v>28</v>
      </c>
      <c r="B17" s="14">
        <v>0</v>
      </c>
      <c r="C17" s="15">
        <v>0</v>
      </c>
      <c r="D17" s="14">
        <v>6.1</v>
      </c>
      <c r="E17" s="15">
        <v>1</v>
      </c>
      <c r="F17" s="14">
        <f>2.76+2.86</f>
        <v>5.62</v>
      </c>
      <c r="G17" s="15">
        <v>2</v>
      </c>
      <c r="H17" s="14">
        <v>0</v>
      </c>
      <c r="I17" s="15">
        <v>0</v>
      </c>
      <c r="J17" s="14">
        <f>2.84+2.84</f>
        <v>5.68</v>
      </c>
      <c r="K17" s="15">
        <v>2</v>
      </c>
      <c r="L17" s="30">
        <f t="shared" si="0"/>
        <v>17.4</v>
      </c>
      <c r="M17" s="15">
        <f t="shared" si="1"/>
        <v>5</v>
      </c>
      <c r="Q17" s="39"/>
      <c r="R17" s="39"/>
    </row>
    <row r="18" s="3" customFormat="1" ht="22.5" customHeight="1" spans="1:18">
      <c r="A18" s="13" t="s">
        <v>29</v>
      </c>
      <c r="B18" s="14">
        <v>0</v>
      </c>
      <c r="C18" s="15">
        <v>0</v>
      </c>
      <c r="D18" s="14">
        <v>8.4</v>
      </c>
      <c r="E18" s="15">
        <v>1</v>
      </c>
      <c r="F18" s="14">
        <v>3.2</v>
      </c>
      <c r="G18" s="15">
        <v>1</v>
      </c>
      <c r="H18" s="14">
        <v>0</v>
      </c>
      <c r="I18" s="15">
        <v>0</v>
      </c>
      <c r="J18" s="14">
        <v>3.86</v>
      </c>
      <c r="K18" s="15">
        <v>1</v>
      </c>
      <c r="L18" s="30">
        <f t="shared" si="0"/>
        <v>15.46</v>
      </c>
      <c r="M18" s="15">
        <f t="shared" si="1"/>
        <v>3</v>
      </c>
      <c r="Q18" s="39"/>
      <c r="R18" s="39"/>
    </row>
    <row r="19" s="3" customFormat="1" ht="22.5" customHeight="1" spans="1:18">
      <c r="A19" s="13" t="s">
        <v>30</v>
      </c>
      <c r="B19" s="14">
        <v>0</v>
      </c>
      <c r="C19" s="15">
        <v>0</v>
      </c>
      <c r="D19" s="14">
        <v>5.6</v>
      </c>
      <c r="E19" s="15">
        <v>1</v>
      </c>
      <c r="F19" s="14">
        <v>3.24</v>
      </c>
      <c r="G19" s="15">
        <v>1</v>
      </c>
      <c r="H19" s="14">
        <v>0</v>
      </c>
      <c r="I19" s="15">
        <v>0</v>
      </c>
      <c r="J19" s="14">
        <f>3.2</f>
        <v>3.2</v>
      </c>
      <c r="K19" s="15">
        <v>1</v>
      </c>
      <c r="L19" s="30">
        <f t="shared" si="0"/>
        <v>12.04</v>
      </c>
      <c r="M19" s="15">
        <f t="shared" si="1"/>
        <v>3</v>
      </c>
      <c r="Q19" s="39"/>
      <c r="R19" s="39"/>
    </row>
    <row r="20" s="3" customFormat="1" ht="22.5" customHeight="1" spans="1:18">
      <c r="A20" s="13" t="s">
        <v>31</v>
      </c>
      <c r="B20" s="14">
        <v>0</v>
      </c>
      <c r="C20" s="15">
        <v>0</v>
      </c>
      <c r="D20" s="14">
        <v>5.08</v>
      </c>
      <c r="E20" s="15">
        <v>1</v>
      </c>
      <c r="F20" s="14">
        <v>3.1</v>
      </c>
      <c r="G20" s="15">
        <v>1</v>
      </c>
      <c r="H20" s="14">
        <v>0</v>
      </c>
      <c r="I20" s="15">
        <v>0</v>
      </c>
      <c r="J20" s="14">
        <f>2.94+3.3</f>
        <v>6.24</v>
      </c>
      <c r="K20" s="15">
        <v>2</v>
      </c>
      <c r="L20" s="30">
        <f t="shared" si="0"/>
        <v>14.42</v>
      </c>
      <c r="M20" s="15">
        <f t="shared" si="1"/>
        <v>4</v>
      </c>
      <c r="Q20" s="39"/>
      <c r="R20" s="39"/>
    </row>
    <row r="21" s="3" customFormat="1" ht="22.5" customHeight="1" spans="1:13">
      <c r="A21" s="13" t="s">
        <v>32</v>
      </c>
      <c r="B21" s="14">
        <v>0</v>
      </c>
      <c r="C21" s="15">
        <v>0</v>
      </c>
      <c r="D21" s="14">
        <v>7.16</v>
      </c>
      <c r="E21" s="15">
        <v>1</v>
      </c>
      <c r="F21" s="14">
        <f>2.56+2.92</f>
        <v>5.48</v>
      </c>
      <c r="G21" s="15">
        <v>2</v>
      </c>
      <c r="H21" s="14">
        <v>0</v>
      </c>
      <c r="I21" s="15">
        <v>0</v>
      </c>
      <c r="J21" s="14">
        <f>3.04+3.04</f>
        <v>6.08</v>
      </c>
      <c r="K21" s="15">
        <v>2</v>
      </c>
      <c r="L21" s="30">
        <f t="shared" si="0"/>
        <v>18.72</v>
      </c>
      <c r="M21" s="15">
        <f t="shared" si="1"/>
        <v>5</v>
      </c>
    </row>
    <row r="22" s="3" customFormat="1" ht="22.5" customHeight="1" spans="1:13">
      <c r="A22" s="13" t="s">
        <v>33</v>
      </c>
      <c r="B22" s="14">
        <v>0</v>
      </c>
      <c r="C22" s="15">
        <v>0</v>
      </c>
      <c r="D22" s="14">
        <v>7.66</v>
      </c>
      <c r="E22" s="15">
        <v>1</v>
      </c>
      <c r="F22" s="14">
        <v>3.42</v>
      </c>
      <c r="G22" s="15">
        <v>1</v>
      </c>
      <c r="H22" s="14">
        <v>0</v>
      </c>
      <c r="I22" s="15">
        <v>0</v>
      </c>
      <c r="J22" s="14">
        <f>4.22+4</f>
        <v>8.22</v>
      </c>
      <c r="K22" s="15">
        <v>2</v>
      </c>
      <c r="L22" s="30">
        <f t="shared" si="0"/>
        <v>19.3</v>
      </c>
      <c r="M22" s="15">
        <f t="shared" si="1"/>
        <v>4</v>
      </c>
    </row>
    <row r="23" s="3" customFormat="1" ht="22.5" customHeight="1" spans="1:13">
      <c r="A23" s="13" t="s">
        <v>34</v>
      </c>
      <c r="B23" s="14">
        <v>0</v>
      </c>
      <c r="C23" s="15">
        <v>0</v>
      </c>
      <c r="D23" s="14">
        <v>8.82</v>
      </c>
      <c r="E23" s="15">
        <v>1</v>
      </c>
      <c r="F23" s="14">
        <v>0</v>
      </c>
      <c r="G23" s="15">
        <v>0</v>
      </c>
      <c r="H23" s="14">
        <v>0</v>
      </c>
      <c r="I23" s="15">
        <v>0</v>
      </c>
      <c r="J23" s="14">
        <f>2.56</f>
        <v>2.56</v>
      </c>
      <c r="K23" s="15">
        <v>1</v>
      </c>
      <c r="L23" s="30">
        <f t="shared" si="0"/>
        <v>11.38</v>
      </c>
      <c r="M23" s="15">
        <f t="shared" si="1"/>
        <v>2</v>
      </c>
    </row>
    <row r="24" s="3" customFormat="1" ht="22.5" customHeight="1" spans="1:13">
      <c r="A24" s="13" t="s">
        <v>35</v>
      </c>
      <c r="B24" s="14">
        <v>0</v>
      </c>
      <c r="C24" s="15">
        <v>0</v>
      </c>
      <c r="D24" s="14">
        <v>7.22</v>
      </c>
      <c r="E24" s="15">
        <v>1</v>
      </c>
      <c r="F24" s="14">
        <v>0</v>
      </c>
      <c r="G24" s="15">
        <v>0</v>
      </c>
      <c r="H24" s="14">
        <v>0</v>
      </c>
      <c r="I24" s="15">
        <v>0</v>
      </c>
      <c r="J24" s="14">
        <f>3.74+2.96</f>
        <v>6.7</v>
      </c>
      <c r="K24" s="15">
        <v>2</v>
      </c>
      <c r="L24" s="30">
        <f t="shared" si="0"/>
        <v>13.92</v>
      </c>
      <c r="M24" s="15">
        <f t="shared" si="1"/>
        <v>3</v>
      </c>
    </row>
    <row r="25" s="3" customFormat="1" ht="22.5" customHeight="1" spans="1:13">
      <c r="A25" s="13" t="s">
        <v>36</v>
      </c>
      <c r="B25" s="14">
        <v>0</v>
      </c>
      <c r="C25" s="15">
        <v>0</v>
      </c>
      <c r="D25" s="14">
        <v>8.88</v>
      </c>
      <c r="E25" s="15">
        <v>1</v>
      </c>
      <c r="F25" s="14">
        <v>0</v>
      </c>
      <c r="G25" s="15">
        <v>0</v>
      </c>
      <c r="H25" s="14">
        <v>0</v>
      </c>
      <c r="I25" s="15">
        <v>0</v>
      </c>
      <c r="J25" s="14">
        <v>3.1</v>
      </c>
      <c r="K25" s="15">
        <v>1</v>
      </c>
      <c r="L25" s="30">
        <f t="shared" si="0"/>
        <v>11.98</v>
      </c>
      <c r="M25" s="15">
        <f t="shared" si="1"/>
        <v>2</v>
      </c>
    </row>
    <row r="26" s="3" customFormat="1" ht="22.5" customHeight="1" spans="1:13">
      <c r="A26" s="13" t="s">
        <v>37</v>
      </c>
      <c r="B26" s="14">
        <v>0</v>
      </c>
      <c r="C26" s="15">
        <v>0</v>
      </c>
      <c r="D26" s="14">
        <v>5.16</v>
      </c>
      <c r="E26" s="15">
        <v>1</v>
      </c>
      <c r="F26" s="14">
        <v>0</v>
      </c>
      <c r="G26" s="15">
        <v>0</v>
      </c>
      <c r="H26" s="14">
        <v>0</v>
      </c>
      <c r="I26" s="15">
        <v>0</v>
      </c>
      <c r="J26" s="14">
        <v>4.12</v>
      </c>
      <c r="K26" s="15">
        <v>1</v>
      </c>
      <c r="L26" s="30">
        <f t="shared" si="0"/>
        <v>9.28</v>
      </c>
      <c r="M26" s="15">
        <f t="shared" si="1"/>
        <v>2</v>
      </c>
    </row>
    <row r="27" s="3" customFormat="1" ht="22.5" customHeight="1" spans="1:13">
      <c r="A27" s="13" t="s">
        <v>38</v>
      </c>
      <c r="B27" s="14">
        <v>0</v>
      </c>
      <c r="C27" s="15">
        <v>0</v>
      </c>
      <c r="D27" s="14">
        <v>5.26</v>
      </c>
      <c r="E27" s="15">
        <v>1</v>
      </c>
      <c r="F27" s="14">
        <v>0</v>
      </c>
      <c r="G27" s="15">
        <v>0</v>
      </c>
      <c r="H27" s="14">
        <v>0</v>
      </c>
      <c r="I27" s="15">
        <v>0</v>
      </c>
      <c r="J27" s="14">
        <v>4.4</v>
      </c>
      <c r="K27" s="15">
        <v>1</v>
      </c>
      <c r="L27" s="30">
        <f t="shared" si="0"/>
        <v>9.66</v>
      </c>
      <c r="M27" s="15">
        <f t="shared" si="1"/>
        <v>2</v>
      </c>
    </row>
    <row r="28" s="3" customFormat="1" ht="22.5" customHeight="1" spans="1:13">
      <c r="A28" s="13" t="s">
        <v>39</v>
      </c>
      <c r="B28" s="14">
        <v>0</v>
      </c>
      <c r="C28" s="15">
        <v>0</v>
      </c>
      <c r="D28" s="14">
        <v>7</v>
      </c>
      <c r="E28" s="15">
        <v>1</v>
      </c>
      <c r="F28" s="14">
        <v>0</v>
      </c>
      <c r="G28" s="15">
        <v>0</v>
      </c>
      <c r="H28" s="14">
        <v>0</v>
      </c>
      <c r="I28" s="15">
        <v>0</v>
      </c>
      <c r="J28" s="14">
        <v>3.5</v>
      </c>
      <c r="K28" s="15">
        <v>1</v>
      </c>
      <c r="L28" s="30">
        <f t="shared" si="0"/>
        <v>10.5</v>
      </c>
      <c r="M28" s="15">
        <f t="shared" si="1"/>
        <v>2</v>
      </c>
    </row>
    <row r="29" s="3" customFormat="1" ht="22.5" customHeight="1" spans="1:13">
      <c r="A29" s="13" t="s">
        <v>40</v>
      </c>
      <c r="B29" s="14">
        <v>0</v>
      </c>
      <c r="C29" s="15">
        <v>0</v>
      </c>
      <c r="D29" s="14">
        <v>7.56</v>
      </c>
      <c r="E29" s="15">
        <v>1</v>
      </c>
      <c r="F29" s="14">
        <f>3.04+2.9</f>
        <v>5.94</v>
      </c>
      <c r="G29" s="15">
        <v>2</v>
      </c>
      <c r="H29" s="14">
        <v>0</v>
      </c>
      <c r="I29" s="15">
        <v>0</v>
      </c>
      <c r="J29" s="14">
        <f>3.46+3.32</f>
        <v>6.78</v>
      </c>
      <c r="K29" s="15">
        <v>2</v>
      </c>
      <c r="L29" s="30">
        <f t="shared" si="0"/>
        <v>20.28</v>
      </c>
      <c r="M29" s="15">
        <f t="shared" si="1"/>
        <v>5</v>
      </c>
    </row>
    <row r="30" s="3" customFormat="1" ht="22.5" customHeight="1" spans="1:13">
      <c r="A30" s="13" t="s">
        <v>41</v>
      </c>
      <c r="B30" s="14">
        <v>0</v>
      </c>
      <c r="C30" s="15">
        <v>0</v>
      </c>
      <c r="D30" s="14">
        <v>7.08</v>
      </c>
      <c r="E30" s="15">
        <v>1</v>
      </c>
      <c r="F30" s="14">
        <f>2.66+2.68</f>
        <v>5.34</v>
      </c>
      <c r="G30" s="15">
        <v>2</v>
      </c>
      <c r="H30" s="14">
        <v>0</v>
      </c>
      <c r="I30" s="15">
        <v>0</v>
      </c>
      <c r="J30" s="14">
        <v>0</v>
      </c>
      <c r="K30" s="15">
        <v>0</v>
      </c>
      <c r="L30" s="30">
        <f t="shared" si="0"/>
        <v>12.42</v>
      </c>
      <c r="M30" s="15">
        <f t="shared" si="1"/>
        <v>3</v>
      </c>
    </row>
    <row r="31" s="3" customFormat="1" ht="22.5" customHeight="1" spans="1:13">
      <c r="A31" s="13" t="s">
        <v>42</v>
      </c>
      <c r="B31" s="14">
        <v>0</v>
      </c>
      <c r="C31" s="15">
        <v>0</v>
      </c>
      <c r="D31" s="14">
        <v>7.86</v>
      </c>
      <c r="E31" s="15">
        <v>1</v>
      </c>
      <c r="F31" s="14">
        <f>2.18+2.66</f>
        <v>4.84</v>
      </c>
      <c r="G31" s="15">
        <v>2</v>
      </c>
      <c r="H31" s="14">
        <v>0</v>
      </c>
      <c r="I31" s="15">
        <v>0</v>
      </c>
      <c r="J31" s="14">
        <v>0</v>
      </c>
      <c r="K31" s="15">
        <v>0</v>
      </c>
      <c r="L31" s="30">
        <f t="shared" si="0"/>
        <v>12.7</v>
      </c>
      <c r="M31" s="15">
        <f t="shared" si="1"/>
        <v>3</v>
      </c>
    </row>
    <row r="32" s="3" customFormat="1" ht="22.5" customHeight="1" spans="1:13">
      <c r="A32" s="13" t="s">
        <v>43</v>
      </c>
      <c r="B32" s="14">
        <v>0</v>
      </c>
      <c r="C32" s="15">
        <v>0</v>
      </c>
      <c r="D32" s="14">
        <v>7.72</v>
      </c>
      <c r="E32" s="15">
        <v>1</v>
      </c>
      <c r="F32" s="14">
        <v>3.34</v>
      </c>
      <c r="G32" s="15">
        <v>1</v>
      </c>
      <c r="H32" s="14">
        <v>0</v>
      </c>
      <c r="I32" s="15">
        <v>0</v>
      </c>
      <c r="J32" s="14">
        <v>0</v>
      </c>
      <c r="K32" s="15">
        <v>0</v>
      </c>
      <c r="L32" s="30">
        <f t="shared" si="0"/>
        <v>11.06</v>
      </c>
      <c r="M32" s="15">
        <f t="shared" si="1"/>
        <v>2</v>
      </c>
    </row>
    <row r="33" s="3" customFormat="1" ht="22.5" customHeight="1" spans="1:13">
      <c r="A33" s="13" t="s">
        <v>44</v>
      </c>
      <c r="B33" s="14">
        <v>0</v>
      </c>
      <c r="C33" s="15">
        <v>0</v>
      </c>
      <c r="D33" s="14">
        <v>5.06</v>
      </c>
      <c r="E33" s="15">
        <v>1</v>
      </c>
      <c r="F33" s="14">
        <f>3.22</f>
        <v>3.22</v>
      </c>
      <c r="G33" s="15">
        <v>1</v>
      </c>
      <c r="H33" s="14">
        <v>0</v>
      </c>
      <c r="I33" s="15">
        <v>0</v>
      </c>
      <c r="J33" s="14">
        <v>0</v>
      </c>
      <c r="K33" s="15">
        <v>0</v>
      </c>
      <c r="L33" s="30">
        <f t="shared" si="0"/>
        <v>8.28</v>
      </c>
      <c r="M33" s="15">
        <f t="shared" si="1"/>
        <v>2</v>
      </c>
    </row>
    <row r="34" s="3" customFormat="1" ht="22.5" customHeight="1" spans="1:13">
      <c r="A34" s="13" t="s">
        <v>45</v>
      </c>
      <c r="B34" s="14">
        <v>0</v>
      </c>
      <c r="C34" s="15">
        <v>0</v>
      </c>
      <c r="D34" s="14">
        <v>5.16</v>
      </c>
      <c r="E34" s="15">
        <v>1</v>
      </c>
      <c r="F34" s="14">
        <v>3.42</v>
      </c>
      <c r="G34" s="15">
        <v>1</v>
      </c>
      <c r="H34" s="14">
        <v>0</v>
      </c>
      <c r="I34" s="15">
        <v>0</v>
      </c>
      <c r="J34" s="14">
        <v>3.5</v>
      </c>
      <c r="K34" s="15">
        <v>1</v>
      </c>
      <c r="L34" s="30">
        <f>+B34+D34+F34+H34+J34</f>
        <v>12.08</v>
      </c>
      <c r="M34" s="15">
        <f>+C34+E34+G34+I34+K34</f>
        <v>3</v>
      </c>
    </row>
    <row r="35" s="3" customFormat="1" ht="23.25" customHeight="1" spans="1:13">
      <c r="A35" s="13" t="s">
        <v>46</v>
      </c>
      <c r="B35" s="14">
        <v>0</v>
      </c>
      <c r="C35" s="15">
        <v>0</v>
      </c>
      <c r="D35" s="14">
        <v>6.66</v>
      </c>
      <c r="E35" s="15">
        <v>1</v>
      </c>
      <c r="F35" s="14">
        <f>2.1+2.52</f>
        <v>4.62</v>
      </c>
      <c r="G35" s="15">
        <v>2</v>
      </c>
      <c r="H35" s="14">
        <v>0</v>
      </c>
      <c r="I35" s="15">
        <v>0</v>
      </c>
      <c r="J35" s="14">
        <f>3.06+2.82</f>
        <v>5.88</v>
      </c>
      <c r="K35" s="15">
        <v>2</v>
      </c>
      <c r="L35" s="30">
        <f>+B35+D35+F35+H35+J35</f>
        <v>17.16</v>
      </c>
      <c r="M35" s="15">
        <f>+C35+E35+G35+I35+K35</f>
        <v>5</v>
      </c>
    </row>
    <row r="36" s="3" customFormat="1" ht="25.5" customHeight="1" spans="1:17">
      <c r="A36" s="16" t="s">
        <v>13</v>
      </c>
      <c r="B36" s="17">
        <f t="shared" ref="B36:M36" si="2">SUM(B5:B35)</f>
        <v>0</v>
      </c>
      <c r="C36" s="17">
        <f t="shared" si="2"/>
        <v>0</v>
      </c>
      <c r="D36" s="17">
        <f t="shared" si="2"/>
        <v>218.7</v>
      </c>
      <c r="E36" s="15">
        <f t="shared" si="2"/>
        <v>31</v>
      </c>
      <c r="F36" s="17">
        <f t="shared" si="2"/>
        <v>98.9</v>
      </c>
      <c r="G36" s="15">
        <f t="shared" si="2"/>
        <v>35</v>
      </c>
      <c r="H36" s="17">
        <f t="shared" si="2"/>
        <v>0</v>
      </c>
      <c r="I36" s="17">
        <f t="shared" si="2"/>
        <v>0</v>
      </c>
      <c r="J36" s="17">
        <f t="shared" si="2"/>
        <v>137.26</v>
      </c>
      <c r="K36" s="15">
        <f t="shared" si="2"/>
        <v>42</v>
      </c>
      <c r="L36" s="17">
        <f t="shared" si="2"/>
        <v>454.86</v>
      </c>
      <c r="M36" s="15">
        <f t="shared" si="2"/>
        <v>108</v>
      </c>
      <c r="O36" s="31"/>
      <c r="P36" s="31"/>
      <c r="Q36" s="31"/>
    </row>
    <row r="37" s="3" customFormat="1" ht="12.75" hidden="1" customHeight="1" spans="1:17">
      <c r="A37" s="18"/>
      <c r="B37" s="19"/>
      <c r="C37" s="20"/>
      <c r="D37" s="21"/>
      <c r="E37" s="22"/>
      <c r="F37" s="21"/>
      <c r="G37" s="22"/>
      <c r="H37" s="21"/>
      <c r="I37" s="22"/>
      <c r="J37" s="21"/>
      <c r="K37" s="22"/>
      <c r="L37" s="32"/>
      <c r="M37" s="33"/>
      <c r="O37" s="31"/>
      <c r="P37" s="31"/>
      <c r="Q37" s="31"/>
    </row>
    <row r="38" s="4" customFormat="1" ht="18.75" customHeight="1" spans="1:15">
      <c r="A38" s="23" t="s">
        <v>76</v>
      </c>
      <c r="B38" s="23"/>
      <c r="C38" s="23"/>
      <c r="D38" s="24"/>
      <c r="E38" s="24"/>
      <c r="F38" s="24"/>
      <c r="G38" s="24"/>
      <c r="H38" s="24"/>
      <c r="I38" s="24"/>
      <c r="K38" s="24"/>
      <c r="L38" s="34"/>
      <c r="M38" s="35"/>
      <c r="O38" s="36"/>
    </row>
    <row r="39" spans="1:15">
      <c r="A39" s="25"/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37"/>
      <c r="M39" s="37"/>
      <c r="O39" s="37"/>
    </row>
    <row r="40" spans="1:13">
      <c r="A40" s="26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37"/>
      <c r="M40" s="37"/>
    </row>
    <row r="41" spans="1:13">
      <c r="A41" s="26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38"/>
      <c r="M41" s="38"/>
    </row>
    <row r="42" spans="1:13">
      <c r="A42" s="26"/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37"/>
      <c r="M42" s="37"/>
    </row>
  </sheetData>
  <mergeCells count="10">
    <mergeCell ref="A1:M1"/>
    <mergeCell ref="L2:M2"/>
    <mergeCell ref="B3:C3"/>
    <mergeCell ref="D3:E3"/>
    <mergeCell ref="F3:G3"/>
    <mergeCell ref="H3:I3"/>
    <mergeCell ref="J3:K3"/>
    <mergeCell ref="L3:M3"/>
    <mergeCell ref="A39:D39"/>
    <mergeCell ref="A3:A4"/>
  </mergeCells>
  <pageMargins left="0.24" right="0.22" top="0.23" bottom="0.23" header="0.16" footer="0.2"/>
  <pageSetup paperSize="9" scale="90" orientation="portrait" horizontalDpi="600" verticalDpi="600"/>
  <headerFooter alignWithMargins="0" scaleWithDoc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餐饮 排水</vt:lpstr>
      <vt:lpstr>餐饮 西岗区</vt:lpstr>
      <vt:lpstr>餐饮 甘井子</vt:lpstr>
      <vt:lpstr>餐饮沙河口</vt:lpstr>
      <vt:lpstr>餐厨中山区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Nan宝贝</cp:lastModifiedBy>
  <dcterms:created xsi:type="dcterms:W3CDTF">2025-01-09T03:04:41Z</dcterms:created>
  <dcterms:modified xsi:type="dcterms:W3CDTF">2025-01-09T03:05:04Z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EF0DFD7B6CED47B4A688260F12BDDFAD_11</vt:lpwstr>
  </property>
  <property fmtid="{D5CDD505-2E9C-101B-9397-08002B2CF9AE}" pid="3" name="KSOProductBuildVer">
    <vt:lpwstr>2052-12.1.0.19770</vt:lpwstr>
  </property>
</Properties>
</file>