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8773364-3B89-4A02-8B9C-C714970DD9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餐饮 排水" sheetId="2" r:id="rId1"/>
    <sheet name="餐饮 西岗区" sheetId="3" r:id="rId2"/>
    <sheet name="厨余西岗分类B标" sheetId="4" r:id="rId3"/>
    <sheet name="餐饮 甘井子" sheetId="5" r:id="rId4"/>
    <sheet name="厨余甘井子 " sheetId="6" r:id="rId5"/>
    <sheet name="餐饮沙河口" sheetId="7" r:id="rId6"/>
    <sheet name="厨余沙河口 " sheetId="8" r:id="rId7"/>
    <sheet name="餐厨中山区" sheetId="9" r:id="rId8"/>
    <sheet name="厨余中山区 " sheetId="10" r:id="rId9"/>
    <sheet name="厨余高新园区餐厨A标" sheetId="11" r:id="rId10"/>
  </sheets>
  <definedNames>
    <definedName name="_xlnm.Print_Area" localSheetId="7">餐厨中山区!$A$1:$M$38</definedName>
    <definedName name="_xlnm.Print_Area" localSheetId="3">'餐饮 甘井子'!$A$1:$AC$39</definedName>
    <definedName name="_xlnm.Print_Area" localSheetId="0">'餐饮 排水'!$A$1:$W$39</definedName>
    <definedName name="_xlnm.Print_Area" localSheetId="1">'餐饮 西岗区'!$A$1:$I$38</definedName>
    <definedName name="_xlnm.Print_Area" localSheetId="5">餐饮沙河口!$A$1:$K$37</definedName>
    <definedName name="_xlnm.Print_Area" localSheetId="4">'厨余甘井子 '!$A$1:$I$39</definedName>
    <definedName name="_xlnm.Print_Area" localSheetId="6">'厨余沙河口 '!$A$1:$G$37</definedName>
    <definedName name="_xlnm.Print_Area" localSheetId="8">'厨余中山区 '!$A$1:$G$38</definedName>
  </definedNames>
  <calcPr calcId="191029"/>
</workbook>
</file>

<file path=xl/calcChain.xml><?xml version="1.0" encoding="utf-8"?>
<calcChain xmlns="http://schemas.openxmlformats.org/spreadsheetml/2006/main">
  <c r="V36" i="2" l="1"/>
  <c r="C37" i="11"/>
  <c r="B37" i="11"/>
  <c r="B27" i="11"/>
  <c r="B26" i="11"/>
  <c r="B25" i="11"/>
  <c r="B24" i="11"/>
  <c r="G36" i="10"/>
  <c r="F36" i="10"/>
  <c r="E36" i="10"/>
  <c r="D36" i="10"/>
  <c r="C36" i="10"/>
  <c r="B36" i="10"/>
  <c r="G35" i="10"/>
  <c r="F35" i="10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D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M36" i="9"/>
  <c r="L36" i="9"/>
  <c r="K36" i="9"/>
  <c r="J36" i="9"/>
  <c r="I36" i="9"/>
  <c r="H36" i="9"/>
  <c r="G36" i="9"/>
  <c r="F36" i="9"/>
  <c r="E36" i="9"/>
  <c r="D36" i="9"/>
  <c r="C36" i="9"/>
  <c r="B36" i="9"/>
  <c r="M35" i="9"/>
  <c r="L35" i="9"/>
  <c r="M34" i="9"/>
  <c r="L34" i="9"/>
  <c r="F34" i="9"/>
  <c r="M33" i="9"/>
  <c r="L33" i="9"/>
  <c r="F33" i="9"/>
  <c r="M32" i="9"/>
  <c r="L32" i="9"/>
  <c r="F32" i="9"/>
  <c r="M31" i="9"/>
  <c r="L31" i="9"/>
  <c r="F31" i="9"/>
  <c r="M30" i="9"/>
  <c r="L30" i="9"/>
  <c r="F30" i="9"/>
  <c r="M29" i="9"/>
  <c r="L29" i="9"/>
  <c r="M28" i="9"/>
  <c r="L28" i="9"/>
  <c r="M27" i="9"/>
  <c r="L27" i="9"/>
  <c r="F27" i="9"/>
  <c r="M26" i="9"/>
  <c r="L26" i="9"/>
  <c r="F26" i="9"/>
  <c r="M25" i="9"/>
  <c r="L25" i="9"/>
  <c r="F25" i="9"/>
  <c r="M24" i="9"/>
  <c r="L24" i="9"/>
  <c r="F24" i="9"/>
  <c r="M23" i="9"/>
  <c r="L23" i="9"/>
  <c r="F23" i="9"/>
  <c r="M22" i="9"/>
  <c r="L22" i="9"/>
  <c r="M21" i="9"/>
  <c r="L21" i="9"/>
  <c r="M20" i="9"/>
  <c r="L20" i="9"/>
  <c r="J20" i="9"/>
  <c r="F20" i="9"/>
  <c r="M19" i="9"/>
  <c r="L19" i="9"/>
  <c r="F19" i="9"/>
  <c r="M18" i="9"/>
  <c r="L18" i="9"/>
  <c r="F18" i="9"/>
  <c r="M17" i="9"/>
  <c r="L17" i="9"/>
  <c r="F17" i="9"/>
  <c r="M16" i="9"/>
  <c r="L16" i="9"/>
  <c r="J16" i="9"/>
  <c r="F16" i="9"/>
  <c r="M15" i="9"/>
  <c r="L15" i="9"/>
  <c r="M14" i="9"/>
  <c r="L14" i="9"/>
  <c r="M13" i="9"/>
  <c r="L13" i="9"/>
  <c r="F13" i="9"/>
  <c r="M12" i="9"/>
  <c r="L12" i="9"/>
  <c r="F12" i="9"/>
  <c r="M11" i="9"/>
  <c r="L11" i="9"/>
  <c r="F11" i="9"/>
  <c r="M10" i="9"/>
  <c r="L10" i="9"/>
  <c r="F10" i="9"/>
  <c r="M9" i="9"/>
  <c r="L9" i="9"/>
  <c r="F9" i="9"/>
  <c r="M8" i="9"/>
  <c r="L8" i="9"/>
  <c r="M7" i="9"/>
  <c r="L7" i="9"/>
  <c r="M6" i="9"/>
  <c r="L6" i="9"/>
  <c r="M5" i="9"/>
  <c r="L5" i="9"/>
  <c r="F5" i="9"/>
  <c r="G36" i="8"/>
  <c r="F36" i="8"/>
  <c r="E36" i="8"/>
  <c r="D36" i="8"/>
  <c r="C36" i="8"/>
  <c r="B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B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K36" i="7"/>
  <c r="J36" i="7"/>
  <c r="I36" i="7"/>
  <c r="H36" i="7"/>
  <c r="G36" i="7"/>
  <c r="F36" i="7"/>
  <c r="E36" i="7"/>
  <c r="D36" i="7"/>
  <c r="C36" i="7"/>
  <c r="B36" i="7"/>
  <c r="K35" i="7"/>
  <c r="J35" i="7"/>
  <c r="F35" i="7"/>
  <c r="D35" i="7"/>
  <c r="K34" i="7"/>
  <c r="J34" i="7"/>
  <c r="H34" i="7"/>
  <c r="F34" i="7"/>
  <c r="K33" i="7"/>
  <c r="J33" i="7"/>
  <c r="H33" i="7"/>
  <c r="F33" i="7"/>
  <c r="K32" i="7"/>
  <c r="J32" i="7"/>
  <c r="H32" i="7"/>
  <c r="F32" i="7"/>
  <c r="B32" i="7"/>
  <c r="K31" i="7"/>
  <c r="J31" i="7"/>
  <c r="H31" i="7"/>
  <c r="F31" i="7"/>
  <c r="K30" i="7"/>
  <c r="J30" i="7"/>
  <c r="H30" i="7"/>
  <c r="F30" i="7"/>
  <c r="K29" i="7"/>
  <c r="J29" i="7"/>
  <c r="H29" i="7"/>
  <c r="F29" i="7"/>
  <c r="K28" i="7"/>
  <c r="J28" i="7"/>
  <c r="H28" i="7"/>
  <c r="F28" i="7"/>
  <c r="B28" i="7"/>
  <c r="K27" i="7"/>
  <c r="J27" i="7"/>
  <c r="H27" i="7"/>
  <c r="F27" i="7"/>
  <c r="K26" i="7"/>
  <c r="J26" i="7"/>
  <c r="H26" i="7"/>
  <c r="F26" i="7"/>
  <c r="B26" i="7"/>
  <c r="K25" i="7"/>
  <c r="J25" i="7"/>
  <c r="H25" i="7"/>
  <c r="F25" i="7"/>
  <c r="K24" i="7"/>
  <c r="J24" i="7"/>
  <c r="H24" i="7"/>
  <c r="F24" i="7"/>
  <c r="K23" i="7"/>
  <c r="J23" i="7"/>
  <c r="H23" i="7"/>
  <c r="F23" i="7"/>
  <c r="K22" i="7"/>
  <c r="J22" i="7"/>
  <c r="H22" i="7"/>
  <c r="F22" i="7"/>
  <c r="K21" i="7"/>
  <c r="J21" i="7"/>
  <c r="H21" i="7"/>
  <c r="F21" i="7"/>
  <c r="K20" i="7"/>
  <c r="J20" i="7"/>
  <c r="H20" i="7"/>
  <c r="F20" i="7"/>
  <c r="B20" i="7"/>
  <c r="K19" i="7"/>
  <c r="J19" i="7"/>
  <c r="H19" i="7"/>
  <c r="F19" i="7"/>
  <c r="K18" i="7"/>
  <c r="J18" i="7"/>
  <c r="H18" i="7"/>
  <c r="F18" i="7"/>
  <c r="B18" i="7"/>
  <c r="K17" i="7"/>
  <c r="J17" i="7"/>
  <c r="H17" i="7"/>
  <c r="F17" i="7"/>
  <c r="K16" i="7"/>
  <c r="J16" i="7"/>
  <c r="H16" i="7"/>
  <c r="F16" i="7"/>
  <c r="B16" i="7"/>
  <c r="K15" i="7"/>
  <c r="J15" i="7"/>
  <c r="H15" i="7"/>
  <c r="F15" i="7"/>
  <c r="K14" i="7"/>
  <c r="J14" i="7"/>
  <c r="H14" i="7"/>
  <c r="F14" i="7"/>
  <c r="B14" i="7"/>
  <c r="K13" i="7"/>
  <c r="J13" i="7"/>
  <c r="H13" i="7"/>
  <c r="F13" i="7"/>
  <c r="K12" i="7"/>
  <c r="J12" i="7"/>
  <c r="H12" i="7"/>
  <c r="F12" i="7"/>
  <c r="K11" i="7"/>
  <c r="J11" i="7"/>
  <c r="H11" i="7"/>
  <c r="F11" i="7"/>
  <c r="D11" i="7"/>
  <c r="K10" i="7"/>
  <c r="J10" i="7"/>
  <c r="H10" i="7"/>
  <c r="F10" i="7"/>
  <c r="B10" i="7"/>
  <c r="K9" i="7"/>
  <c r="J9" i="7"/>
  <c r="H9" i="7"/>
  <c r="F9" i="7"/>
  <c r="K8" i="7"/>
  <c r="J8" i="7"/>
  <c r="H8" i="7"/>
  <c r="F8" i="7"/>
  <c r="B8" i="7"/>
  <c r="K7" i="7"/>
  <c r="J7" i="7"/>
  <c r="H7" i="7"/>
  <c r="F7" i="7"/>
  <c r="D7" i="7"/>
  <c r="K6" i="7"/>
  <c r="J6" i="7"/>
  <c r="H6" i="7"/>
  <c r="F6" i="7"/>
  <c r="K5" i="7"/>
  <c r="J5" i="7"/>
  <c r="H5" i="7"/>
  <c r="F5" i="7"/>
  <c r="I36" i="6"/>
  <c r="H36" i="6"/>
  <c r="G36" i="6"/>
  <c r="F36" i="6"/>
  <c r="E36" i="6"/>
  <c r="D36" i="6"/>
  <c r="C36" i="6"/>
  <c r="B36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D26" i="6"/>
  <c r="I25" i="6"/>
  <c r="H25" i="6"/>
  <c r="D25" i="6"/>
  <c r="I24" i="6"/>
  <c r="H24" i="6"/>
  <c r="D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C35" i="5"/>
  <c r="AB35" i="5"/>
  <c r="F35" i="5"/>
  <c r="B35" i="5"/>
  <c r="AC34" i="5"/>
  <c r="AB34" i="5"/>
  <c r="B34" i="5"/>
  <c r="AC33" i="5"/>
  <c r="AB33" i="5"/>
  <c r="V33" i="5"/>
  <c r="B33" i="5"/>
  <c r="AC32" i="5"/>
  <c r="AB32" i="5"/>
  <c r="V32" i="5"/>
  <c r="B32" i="5"/>
  <c r="AC31" i="5"/>
  <c r="AB31" i="5"/>
  <c r="V31" i="5"/>
  <c r="F31" i="5"/>
  <c r="B31" i="5"/>
  <c r="AC30" i="5"/>
  <c r="AB30" i="5"/>
  <c r="V30" i="5"/>
  <c r="F30" i="5"/>
  <c r="B30" i="5"/>
  <c r="AC29" i="5"/>
  <c r="AB29" i="5"/>
  <c r="B29" i="5"/>
  <c r="AC28" i="5"/>
  <c r="AB28" i="5"/>
  <c r="B28" i="5"/>
  <c r="AC27" i="5"/>
  <c r="AB27" i="5"/>
  <c r="B27" i="5"/>
  <c r="AC26" i="5"/>
  <c r="AB26" i="5"/>
  <c r="V26" i="5"/>
  <c r="B26" i="5"/>
  <c r="AC25" i="5"/>
  <c r="AB25" i="5"/>
  <c r="V25" i="5"/>
  <c r="F25" i="5"/>
  <c r="B25" i="5"/>
  <c r="AC24" i="5"/>
  <c r="AB24" i="5"/>
  <c r="V24" i="5"/>
  <c r="AC23" i="5"/>
  <c r="AB23" i="5"/>
  <c r="V23" i="5"/>
  <c r="F23" i="5"/>
  <c r="B23" i="5"/>
  <c r="AC22" i="5"/>
  <c r="AB22" i="5"/>
  <c r="B22" i="5"/>
  <c r="AC21" i="5"/>
  <c r="AB21" i="5"/>
  <c r="B21" i="5"/>
  <c r="AC20" i="5"/>
  <c r="AB20" i="5"/>
  <c r="B20" i="5"/>
  <c r="AC19" i="5"/>
  <c r="AB19" i="5"/>
  <c r="V19" i="5"/>
  <c r="F19" i="5"/>
  <c r="B19" i="5"/>
  <c r="AC18" i="5"/>
  <c r="AB18" i="5"/>
  <c r="V18" i="5"/>
  <c r="F18" i="5"/>
  <c r="B18" i="5"/>
  <c r="AC17" i="5"/>
  <c r="AB17" i="5"/>
  <c r="V17" i="5"/>
  <c r="B17" i="5"/>
  <c r="AC16" i="5"/>
  <c r="AB16" i="5"/>
  <c r="V16" i="5"/>
  <c r="F16" i="5"/>
  <c r="B16" i="5"/>
  <c r="AC15" i="5"/>
  <c r="AB15" i="5"/>
  <c r="B15" i="5"/>
  <c r="AC14" i="5"/>
  <c r="AB14" i="5"/>
  <c r="B14" i="5"/>
  <c r="AC13" i="5"/>
  <c r="AB13" i="5"/>
  <c r="B13" i="5"/>
  <c r="AC12" i="5"/>
  <c r="AB12" i="5"/>
  <c r="V12" i="5"/>
  <c r="B12" i="5"/>
  <c r="AC11" i="5"/>
  <c r="AB11" i="5"/>
  <c r="V11" i="5"/>
  <c r="F11" i="5"/>
  <c r="B11" i="5"/>
  <c r="AC10" i="5"/>
  <c r="AB10" i="5"/>
  <c r="V10" i="5"/>
  <c r="B10" i="5"/>
  <c r="AC9" i="5"/>
  <c r="AB9" i="5"/>
  <c r="V9" i="5"/>
  <c r="B9" i="5"/>
  <c r="AC8" i="5"/>
  <c r="AB8" i="5"/>
  <c r="B8" i="5"/>
  <c r="AC7" i="5"/>
  <c r="AB7" i="5"/>
  <c r="B7" i="5"/>
  <c r="AC6" i="5"/>
  <c r="AB6" i="5"/>
  <c r="V6" i="5"/>
  <c r="B6" i="5"/>
  <c r="AC5" i="5"/>
  <c r="AB5" i="5"/>
  <c r="B5" i="5"/>
  <c r="C37" i="4"/>
  <c r="B37" i="4"/>
  <c r="B27" i="4"/>
  <c r="B26" i="4"/>
  <c r="I36" i="3"/>
  <c r="H36" i="3"/>
  <c r="G36" i="3"/>
  <c r="F36" i="3"/>
  <c r="E36" i="3"/>
  <c r="D36" i="3"/>
  <c r="C36" i="3"/>
  <c r="B36" i="3"/>
  <c r="I35" i="3"/>
  <c r="H35" i="3"/>
  <c r="I34" i="3"/>
  <c r="H34" i="3"/>
  <c r="D34" i="3"/>
  <c r="I33" i="3"/>
  <c r="H33" i="3"/>
  <c r="D33" i="3"/>
  <c r="I32" i="3"/>
  <c r="H32" i="3"/>
  <c r="D32" i="3"/>
  <c r="I31" i="3"/>
  <c r="H31" i="3"/>
  <c r="D31" i="3"/>
  <c r="I30" i="3"/>
  <c r="H30" i="3"/>
  <c r="D30" i="3"/>
  <c r="I29" i="3"/>
  <c r="H29" i="3"/>
  <c r="D29" i="3"/>
  <c r="I28" i="3"/>
  <c r="H28" i="3"/>
  <c r="I27" i="3"/>
  <c r="H27" i="3"/>
  <c r="D27" i="3"/>
  <c r="I26" i="3"/>
  <c r="H26" i="3"/>
  <c r="D26" i="3"/>
  <c r="I25" i="3"/>
  <c r="H25" i="3"/>
  <c r="D25" i="3"/>
  <c r="I24" i="3"/>
  <c r="H24" i="3"/>
  <c r="D24" i="3"/>
  <c r="I23" i="3"/>
  <c r="H23" i="3"/>
  <c r="D23" i="3"/>
  <c r="I22" i="3"/>
  <c r="H22" i="3"/>
  <c r="I21" i="3"/>
  <c r="H21" i="3"/>
  <c r="D21" i="3"/>
  <c r="I20" i="3"/>
  <c r="H20" i="3"/>
  <c r="D20" i="3"/>
  <c r="I19" i="3"/>
  <c r="H19" i="3"/>
  <c r="D19" i="3"/>
  <c r="I18" i="3"/>
  <c r="H18" i="3"/>
  <c r="D18" i="3"/>
  <c r="I17" i="3"/>
  <c r="H17" i="3"/>
  <c r="D17" i="3"/>
  <c r="I16" i="3"/>
  <c r="H16" i="3"/>
  <c r="D16" i="3"/>
  <c r="I15" i="3"/>
  <c r="H15" i="3"/>
  <c r="D15" i="3"/>
  <c r="I14" i="3"/>
  <c r="H14" i="3"/>
  <c r="I13" i="3"/>
  <c r="H13" i="3"/>
  <c r="D13" i="3"/>
  <c r="I12" i="3"/>
  <c r="H12" i="3"/>
  <c r="D12" i="3"/>
  <c r="I11" i="3"/>
  <c r="H11" i="3"/>
  <c r="D11" i="3"/>
  <c r="I10" i="3"/>
  <c r="H10" i="3"/>
  <c r="D10" i="3"/>
  <c r="I9" i="3"/>
  <c r="H9" i="3"/>
  <c r="D9" i="3"/>
  <c r="I8" i="3"/>
  <c r="H8" i="3"/>
  <c r="D8" i="3"/>
  <c r="I7" i="3"/>
  <c r="H7" i="3"/>
  <c r="D7" i="3"/>
  <c r="I6" i="3"/>
  <c r="H6" i="3"/>
  <c r="D6" i="3"/>
  <c r="I5" i="3"/>
  <c r="H5" i="3"/>
  <c r="D5" i="3"/>
  <c r="W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W35" i="2"/>
  <c r="V35" i="2"/>
  <c r="W34" i="2"/>
  <c r="V34" i="2"/>
  <c r="W33" i="2"/>
  <c r="V33" i="2"/>
  <c r="W32" i="2"/>
  <c r="V32" i="2"/>
  <c r="W31" i="2"/>
  <c r="V31" i="2"/>
  <c r="W30" i="2"/>
  <c r="V30" i="2"/>
  <c r="W29" i="2"/>
  <c r="V29" i="2"/>
  <c r="W28" i="2"/>
  <c r="V28" i="2"/>
  <c r="W27" i="2"/>
  <c r="V27" i="2"/>
  <c r="W26" i="2"/>
  <c r="V26" i="2"/>
  <c r="W25" i="2"/>
  <c r="V25" i="2"/>
  <c r="W24" i="2"/>
  <c r="V24" i="2"/>
  <c r="W23" i="2"/>
  <c r="V23" i="2"/>
  <c r="W22" i="2"/>
  <c r="V22" i="2"/>
  <c r="W21" i="2"/>
  <c r="V21" i="2"/>
  <c r="W20" i="2"/>
  <c r="V20" i="2"/>
  <c r="W19" i="2"/>
  <c r="V19" i="2"/>
  <c r="W18" i="2"/>
  <c r="V18" i="2"/>
  <c r="W17" i="2"/>
  <c r="V17" i="2"/>
  <c r="W16" i="2"/>
  <c r="V16" i="2"/>
  <c r="W15" i="2"/>
  <c r="V15" i="2"/>
  <c r="W14" i="2"/>
  <c r="V14" i="2"/>
  <c r="W13" i="2"/>
  <c r="V13" i="2"/>
  <c r="W12" i="2"/>
  <c r="V12" i="2"/>
  <c r="W11" i="2"/>
  <c r="V11" i="2"/>
  <c r="W10" i="2"/>
  <c r="V10" i="2"/>
  <c r="W9" i="2"/>
  <c r="V9" i="2"/>
  <c r="W8" i="2"/>
  <c r="V8" i="2"/>
  <c r="W7" i="2"/>
  <c r="V7" i="2"/>
  <c r="W6" i="2"/>
  <c r="V6" i="2"/>
  <c r="W5" i="2"/>
  <c r="V5" i="2"/>
</calcChain>
</file>

<file path=xl/sharedStrings.xml><?xml version="1.0" encoding="utf-8"?>
<sst xmlns="http://schemas.openxmlformats.org/spreadsheetml/2006/main" count="538" uniqueCount="83">
  <si>
    <t xml:space="preserve">夏家河污泥厂2024年3月餐饮垃圾处理量统计表                       </t>
  </si>
  <si>
    <t xml:space="preserve">                                                               单位：吨</t>
  </si>
  <si>
    <t>日期</t>
  </si>
  <si>
    <t>甘井子区餐厨</t>
  </si>
  <si>
    <t>甘井子区厨余</t>
  </si>
  <si>
    <t>西岗区餐厨</t>
  </si>
  <si>
    <t>西岗分类B标</t>
  </si>
  <si>
    <t>西岗区B标（金洁市容环境）</t>
  </si>
  <si>
    <t>中山区餐厨</t>
  </si>
  <si>
    <t>中山区厨余</t>
  </si>
  <si>
    <t>沙河口区餐厨</t>
  </si>
  <si>
    <t>沙河口区厨余</t>
  </si>
  <si>
    <t>高新园区餐厨A标</t>
  </si>
  <si>
    <t>合计</t>
  </si>
  <si>
    <t>重量</t>
  </si>
  <si>
    <t>车数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</si>
  <si>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</si>
  <si>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</si>
  <si>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</si>
  <si>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</si>
  <si>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</si>
  <si>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</si>
  <si>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</si>
  <si>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</si>
  <si>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</si>
  <si>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</si>
  <si>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</si>
  <si>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</si>
  <si>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</si>
  <si>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</si>
  <si>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</si>
  <si>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</si>
  <si>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</si>
  <si>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</si>
  <si>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</si>
  <si>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</si>
  <si>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</si>
  <si>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</si>
  <si>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</si>
  <si>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</si>
  <si>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</si>
  <si>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</si>
  <si>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</si>
  <si>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</si>
  <si>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</si>
  <si>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</si>
  <si>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</si>
  <si>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 xml:space="preserve">          负责人             审核人              制表人                 日期</t>
  </si>
  <si>
    <t>单位：吨</t>
  </si>
  <si>
    <t>西岗区A标（明悦市容环境）</t>
  </si>
  <si>
    <t>西岗区分类A标</t>
  </si>
  <si>
    <t xml:space="preserve">        负责人            审核人             制表人              日期</t>
  </si>
  <si>
    <t>厨余西岗分类B标</t>
  </si>
  <si>
    <t xml:space="preserve">   负责人              审核人                制表人                日期</t>
  </si>
  <si>
    <t>作成</t>
  </si>
  <si>
    <t>甘井子01标段</t>
  </si>
  <si>
    <t>甘井子02标段</t>
  </si>
  <si>
    <t>甘井子03标段</t>
  </si>
  <si>
    <t>甘井子04标段</t>
  </si>
  <si>
    <t>甘井子05标段</t>
  </si>
  <si>
    <t>甘井子06标段</t>
  </si>
  <si>
    <t>甘井子07标段</t>
  </si>
  <si>
    <t>甘井子08标段</t>
  </si>
  <si>
    <t>甘井子09标段</t>
  </si>
  <si>
    <t>甘井子10标段</t>
  </si>
  <si>
    <t>甘井子11标段</t>
  </si>
  <si>
    <t>甘井子12标段</t>
  </si>
  <si>
    <t>甘井子13标段</t>
  </si>
  <si>
    <t xml:space="preserve"> 负责人                                       审核人                                           制表人                                         日期</t>
  </si>
  <si>
    <t>厨余垃圾</t>
  </si>
  <si>
    <t xml:space="preserve"> 负责人       审核人          制表人          日期</t>
  </si>
  <si>
    <t>沙河口区01标段</t>
  </si>
  <si>
    <t>沙河口区02标段</t>
  </si>
  <si>
    <t>沙河口区03标段</t>
  </si>
  <si>
    <t>沙河口区04标段</t>
  </si>
  <si>
    <t xml:space="preserve">     负责人                  审核人                  制表人                  日期</t>
  </si>
  <si>
    <t>中山区01标段</t>
  </si>
  <si>
    <t>中山区02标段</t>
  </si>
  <si>
    <t>中山区03标段</t>
  </si>
  <si>
    <t>中山区04标段</t>
  </si>
  <si>
    <t>中山区05标段</t>
  </si>
  <si>
    <t xml:space="preserve">       负责人             审核人               制表人                      日期</t>
  </si>
  <si>
    <t>厨余高新园区餐厨A标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</si>
</sst>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 * #,##0_ ;_ * \-#,##0_ ;_ * &quot;-&quot;_ ;_ @_ "/>
    <numFmt numFmtId="43" formatCode="_ * #,##0.00_ ;_ * \-#,##0.00_ ;_ * &quot;-&quot;??_ ;_ @_ "/>
    <numFmt numFmtId="178" formatCode="0_);[Red]\(0\)"/>
    <numFmt numFmtId="179" formatCode="_ * #,##0.00_ ;_ * \-#,##0.00_ ;_ * &quot;-&quot;_ ;_ @_ "/>
    <numFmt numFmtId="180" formatCode="_ * #,##0_ ;_ * \-#,##0_ ;_ * &quot;-&quot;??_ ;_ @_ "/>
  </numFmts>
  <fonts count="2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color indexed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3"/>
      <name val="宋体"/>
      <charset val="134"/>
    </font>
    <font>
      <sz val="11"/>
      <color indexed="9"/>
      <name val="宋体"/>
      <charset val="134"/>
    </font>
    <font>
      <b/>
      <sz val="12"/>
      <color rgb="FFFF0000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12"/>
      <color indexed="1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4"/>
      <color indexed="9"/>
      <name val="宋体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/>
    </xf>
    <xf numFmtId="179" fontId="7" fillId="2" borderId="3" xfId="0" applyNumberFormat="1" applyFont="1" applyFill="1" applyBorder="1" applyAlignment="1">
      <alignment horizontal="center" vertical="center" shrinkToFit="1"/>
    </xf>
    <xf numFmtId="41" fontId="7" fillId="2" borderId="3" xfId="0" applyNumberFormat="1" applyFont="1" applyFill="1" applyBorder="1" applyAlignment="1">
      <alignment horizontal="center" vertical="center" shrinkToFit="1"/>
    </xf>
    <xf numFmtId="41" fontId="7" fillId="0" borderId="3" xfId="0" applyNumberFormat="1" applyFont="1" applyBorder="1">
      <alignment vertical="center"/>
    </xf>
    <xf numFmtId="31" fontId="7" fillId="0" borderId="3" xfId="0" applyNumberFormat="1" applyFont="1" applyBorder="1" applyAlignment="1">
      <alignment horizontal="center"/>
    </xf>
    <xf numFmtId="41" fontId="7" fillId="0" borderId="3" xfId="0" applyNumberFormat="1" applyFont="1" applyBorder="1" applyAlignment="1"/>
    <xf numFmtId="178" fontId="7" fillId="0" borderId="0" xfId="0" applyNumberFormat="1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31" fontId="6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41" fontId="1" fillId="0" borderId="0" xfId="0" applyNumberFormat="1" applyFont="1" applyAlignment="1"/>
    <xf numFmtId="41" fontId="1" fillId="0" borderId="3" xfId="0" applyNumberFormat="1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/>
    <xf numFmtId="0" fontId="9" fillId="0" borderId="1" xfId="0" applyFont="1" applyBorder="1" applyAlignment="1">
      <alignment vertical="center" wrapText="1"/>
    </xf>
    <xf numFmtId="178" fontId="7" fillId="0" borderId="3" xfId="0" applyNumberFormat="1" applyFont="1" applyBorder="1" applyAlignment="1">
      <alignment horizontal="center" vertical="center"/>
    </xf>
    <xf numFmtId="179" fontId="7" fillId="0" borderId="3" xfId="0" applyNumberFormat="1" applyFont="1" applyBorder="1" applyAlignment="1">
      <alignment horizontal="center" vertical="center" shrinkToFit="1"/>
    </xf>
    <xf numFmtId="41" fontId="7" fillId="0" borderId="3" xfId="0" applyNumberFormat="1" applyFont="1" applyBorder="1" applyAlignment="1">
      <alignment horizontal="center" vertical="center" shrinkToFit="1"/>
    </xf>
    <xf numFmtId="179" fontId="7" fillId="0" borderId="3" xfId="0" applyNumberFormat="1" applyFont="1" applyBorder="1">
      <alignment vertical="center"/>
    </xf>
    <xf numFmtId="31" fontId="7" fillId="0" borderId="3" xfId="0" applyNumberFormat="1" applyFont="1" applyBorder="1" applyAlignment="1">
      <alignment horizontal="center" vertical="center"/>
    </xf>
    <xf numFmtId="179" fontId="7" fillId="0" borderId="3" xfId="0" applyNumberFormat="1" applyFont="1" applyBorder="1" applyAlignment="1">
      <alignment horizontal="center" vertical="center"/>
    </xf>
    <xf numFmtId="31" fontId="7" fillId="0" borderId="0" xfId="0" applyNumberFormat="1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179" fontId="7" fillId="2" borderId="0" xfId="0" applyNumberFormat="1" applyFont="1" applyFill="1" applyAlignment="1">
      <alignment horizontal="center" vertical="center" shrinkToFit="1"/>
    </xf>
    <xf numFmtId="41" fontId="7" fillId="2" borderId="0" xfId="0" applyNumberFormat="1" applyFont="1" applyFill="1" applyAlignment="1">
      <alignment horizontal="center" vertical="center" shrinkToFit="1"/>
    </xf>
    <xf numFmtId="179" fontId="7" fillId="0" borderId="0" xfId="0" applyNumberFormat="1" applyFont="1">
      <alignment vertical="center"/>
    </xf>
    <xf numFmtId="41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79" fontId="1" fillId="0" borderId="0" xfId="0" applyNumberFormat="1" applyFont="1" applyAlignment="1"/>
    <xf numFmtId="43" fontId="1" fillId="0" borderId="0" xfId="0" applyNumberFormat="1" applyFont="1" applyAlignment="1"/>
    <xf numFmtId="0" fontId="10" fillId="0" borderId="0" xfId="0" applyFont="1">
      <alignment vertical="center"/>
    </xf>
    <xf numFmtId="179" fontId="2" fillId="0" borderId="0" xfId="0" applyNumberFormat="1" applyFont="1">
      <alignment vertical="center"/>
    </xf>
    <xf numFmtId="41" fontId="8" fillId="0" borderId="0" xfId="0" applyNumberFormat="1" applyFont="1" applyAlignment="1"/>
    <xf numFmtId="41" fontId="7" fillId="0" borderId="3" xfId="0" applyNumberFormat="1" applyFont="1" applyBorder="1" applyAlignment="1">
      <alignment horizontal="center" vertical="center"/>
    </xf>
    <xf numFmtId="179" fontId="8" fillId="0" borderId="0" xfId="0" applyNumberFormat="1" applyFont="1" applyAlignment="1"/>
    <xf numFmtId="179" fontId="11" fillId="0" borderId="3" xfId="0" applyNumberFormat="1" applyFont="1" applyBorder="1" applyAlignment="1">
      <alignment horizontal="center" vertical="center" shrinkToFit="1"/>
    </xf>
    <xf numFmtId="41" fontId="11" fillId="0" borderId="3" xfId="0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31" fontId="13" fillId="0" borderId="3" xfId="0" applyNumberFormat="1" applyFont="1" applyBorder="1" applyAlignment="1">
      <alignment horizontal="center" vertical="center"/>
    </xf>
    <xf numFmtId="31" fontId="13" fillId="0" borderId="0" xfId="0" applyNumberFormat="1" applyFont="1" applyAlignment="1">
      <alignment horizontal="center" vertical="center"/>
    </xf>
    <xf numFmtId="179" fontId="9" fillId="2" borderId="0" xfId="0" applyNumberFormat="1" applyFont="1" applyFill="1" applyAlignment="1">
      <alignment horizontal="center" vertical="center" shrinkToFit="1"/>
    </xf>
    <xf numFmtId="41" fontId="9" fillId="2" borderId="0" xfId="0" applyNumberFormat="1" applyFont="1" applyFill="1" applyAlignment="1">
      <alignment horizontal="center" vertical="center" shrinkToFit="1"/>
    </xf>
    <xf numFmtId="179" fontId="9" fillId="0" borderId="0" xfId="0" applyNumberFormat="1" applyFont="1">
      <alignment vertical="center"/>
    </xf>
    <xf numFmtId="178" fontId="13" fillId="0" borderId="0" xfId="0" applyNumberFormat="1" applyFont="1" applyAlignment="1"/>
    <xf numFmtId="178" fontId="8" fillId="0" borderId="0" xfId="0" applyNumberFormat="1" applyFont="1" applyAlignment="1">
      <alignment horizontal="left"/>
    </xf>
    <xf numFmtId="31" fontId="8" fillId="0" borderId="0" xfId="0" applyNumberFormat="1" applyFont="1" applyAlignment="1">
      <alignment horizontal="center"/>
    </xf>
    <xf numFmtId="43" fontId="1" fillId="3" borderId="0" xfId="0" applyNumberFormat="1" applyFont="1" applyFill="1" applyAlignment="1"/>
    <xf numFmtId="179" fontId="1" fillId="4" borderId="0" xfId="0" applyNumberFormat="1" applyFont="1" applyFill="1" applyAlignment="1"/>
    <xf numFmtId="179" fontId="15" fillId="0" borderId="0" xfId="0" applyNumberFormat="1" applyFont="1" applyAlignment="1"/>
    <xf numFmtId="43" fontId="1" fillId="5" borderId="0" xfId="0" applyNumberFormat="1" applyFont="1" applyFill="1" applyAlignment="1"/>
    <xf numFmtId="41" fontId="9" fillId="0" borderId="0" xfId="0" applyNumberFormat="1" applyFont="1">
      <alignment vertical="center"/>
    </xf>
    <xf numFmtId="0" fontId="8" fillId="0" borderId="0" xfId="0" applyFont="1" applyAlignment="1">
      <alignment horizontal="center"/>
    </xf>
    <xf numFmtId="180" fontId="1" fillId="3" borderId="0" xfId="0" applyNumberFormat="1" applyFont="1" applyFill="1" applyAlignment="1"/>
    <xf numFmtId="41" fontId="1" fillId="4" borderId="0" xfId="0" applyNumberFormat="1" applyFont="1" applyFill="1" applyAlignment="1"/>
    <xf numFmtId="41" fontId="15" fillId="0" borderId="0" xfId="0" applyNumberFormat="1" applyFont="1" applyAlignment="1"/>
    <xf numFmtId="180" fontId="1" fillId="5" borderId="0" xfId="0" applyNumberFormat="1" applyFont="1" applyFill="1" applyAlignment="1"/>
    <xf numFmtId="179" fontId="9" fillId="0" borderId="0" xfId="0" applyNumberFormat="1" applyFont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178" fontId="16" fillId="0" borderId="0" xfId="0" applyNumberFormat="1" applyFont="1" applyAlignment="1"/>
    <xf numFmtId="179" fontId="13" fillId="0" borderId="3" xfId="0" applyNumberFormat="1" applyFont="1" applyBorder="1" applyAlignment="1">
      <alignment horizontal="center" vertical="center" shrinkToFit="1"/>
    </xf>
    <xf numFmtId="41" fontId="13" fillId="0" borderId="3" xfId="0" applyNumberFormat="1" applyFont="1" applyBorder="1">
      <alignment vertical="center"/>
    </xf>
    <xf numFmtId="179" fontId="13" fillId="0" borderId="3" xfId="0" applyNumberFormat="1" applyFont="1" applyBorder="1">
      <alignment vertical="center"/>
    </xf>
    <xf numFmtId="41" fontId="13" fillId="0" borderId="3" xfId="0" applyNumberFormat="1" applyFont="1" applyBorder="1" applyAlignment="1">
      <alignment horizontal="center" vertical="center" shrinkToFit="1"/>
    </xf>
    <xf numFmtId="179" fontId="9" fillId="2" borderId="3" xfId="0" applyNumberFormat="1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43" fontId="13" fillId="0" borderId="3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41" fontId="8" fillId="0" borderId="0" xfId="0" applyNumberFormat="1" applyFont="1">
      <alignment vertical="center"/>
    </xf>
    <xf numFmtId="179" fontId="18" fillId="0" borderId="0" xfId="0" applyNumberFormat="1" applyFo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430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430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10160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430750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10160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430750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9525</xdr:rowOff>
    </xdr:from>
    <xdr:to>
      <xdr:col>11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753100" y="552450"/>
          <a:ext cx="0" cy="29527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724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3724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10160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372475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10160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72475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9525</xdr:rowOff>
    </xdr:from>
    <xdr:to>
      <xdr:col>11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753100" y="552450"/>
          <a:ext cx="0" cy="29527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192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192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8192750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8192750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9340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9340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934075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934075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38187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38187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38187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738187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6483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6483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6483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56483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8962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8962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8962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8962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910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3910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43910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43910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A40"/>
  <sheetViews>
    <sheetView tabSelected="1" workbookViewId="0">
      <pane xSplit="1" ySplit="4" topLeftCell="B27" activePane="bottomRight" state="frozen"/>
      <selection pane="topRight"/>
      <selection pane="bottomLeft"/>
      <selection pane="bottomRight" activeCell="U39" sqref="U39"/>
    </sheetView>
  </sheetViews>
  <sheetFormatPr defaultColWidth="9" defaultRowHeight="14.25" x14ac:dyDescent="0.15"/>
  <cols>
    <col min="1" max="1" width="5.375" style="1" customWidth="1"/>
    <col min="2" max="2" width="12.625" style="1" customWidth="1"/>
    <col min="3" max="3" width="6.5" style="1" customWidth="1"/>
    <col min="4" max="4" width="13.625" style="1" customWidth="1"/>
    <col min="5" max="5" width="8.25" style="1" customWidth="1"/>
    <col min="6" max="6" width="15.75" style="1" customWidth="1"/>
    <col min="7" max="7" width="8.75" style="1" customWidth="1"/>
    <col min="8" max="8" width="13.5" style="1" customWidth="1"/>
    <col min="9" max="9" width="7.875" style="1" customWidth="1"/>
    <col min="10" max="10" width="12.25" style="1" hidden="1" customWidth="1"/>
    <col min="11" max="11" width="5.5" style="1" hidden="1" customWidth="1"/>
    <col min="12" max="12" width="15.375" style="1" customWidth="1"/>
    <col min="13" max="13" width="8.125" style="1" customWidth="1"/>
    <col min="14" max="14" width="12.25" style="1" customWidth="1"/>
    <col min="15" max="15" width="8.375" style="1" customWidth="1"/>
    <col min="16" max="16" width="15.625" style="1" customWidth="1"/>
    <col min="17" max="17" width="7.625" style="1" customWidth="1"/>
    <col min="18" max="18" width="12.125" style="1" customWidth="1"/>
    <col min="19" max="19" width="7.5" style="1" customWidth="1"/>
    <col min="20" max="20" width="14" style="1" customWidth="1"/>
    <col min="21" max="21" width="9.125" style="1" customWidth="1"/>
    <col min="22" max="22" width="19" style="1" customWidth="1"/>
    <col min="23" max="23" width="10.625" style="1" customWidth="1"/>
    <col min="24" max="24" width="11.625" style="1"/>
    <col min="25" max="25" width="16.125" style="1"/>
    <col min="26" max="26" width="9" style="1"/>
    <col min="27" max="27" width="11.625" style="1"/>
    <col min="28" max="16384" width="9" style="1"/>
  </cols>
  <sheetData>
    <row r="1" spans="1:23" ht="35.25" customHeight="1" x14ac:dyDescent="0.1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3" s="2" customFormat="1" ht="23.25" customHeight="1" x14ac:dyDescent="0.15">
      <c r="A2" s="4">
        <v>1000</v>
      </c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spans="1:23" s="2" customFormat="1" ht="51.75" customHeight="1" x14ac:dyDescent="0.15">
      <c r="A3" s="95" t="s">
        <v>2</v>
      </c>
      <c r="B3" s="88" t="s">
        <v>3</v>
      </c>
      <c r="C3" s="89"/>
      <c r="D3" s="90" t="s">
        <v>4</v>
      </c>
      <c r="E3" s="90"/>
      <c r="F3" s="88" t="s">
        <v>5</v>
      </c>
      <c r="G3" s="89"/>
      <c r="H3" s="90" t="s">
        <v>6</v>
      </c>
      <c r="I3" s="90"/>
      <c r="J3" s="88" t="s">
        <v>7</v>
      </c>
      <c r="K3" s="89"/>
      <c r="L3" s="88" t="s">
        <v>8</v>
      </c>
      <c r="M3" s="89"/>
      <c r="N3" s="90" t="s">
        <v>9</v>
      </c>
      <c r="O3" s="90"/>
      <c r="P3" s="88" t="s">
        <v>10</v>
      </c>
      <c r="Q3" s="89"/>
      <c r="R3" s="88" t="s">
        <v>11</v>
      </c>
      <c r="S3" s="89"/>
      <c r="T3" s="91" t="s">
        <v>12</v>
      </c>
      <c r="U3" s="91"/>
      <c r="V3" s="92" t="s">
        <v>13</v>
      </c>
      <c r="W3" s="93"/>
    </row>
    <row r="4" spans="1:23" s="2" customFormat="1" ht="29.25" customHeight="1" x14ac:dyDescent="0.15">
      <c r="A4" s="96"/>
      <c r="B4" s="52" t="s">
        <v>14</v>
      </c>
      <c r="C4" s="52" t="s">
        <v>15</v>
      </c>
      <c r="D4" s="52" t="s">
        <v>14</v>
      </c>
      <c r="E4" s="52" t="s">
        <v>15</v>
      </c>
      <c r="F4" s="53" t="s">
        <v>14</v>
      </c>
      <c r="G4" s="53" t="s">
        <v>15</v>
      </c>
      <c r="H4" s="52" t="s">
        <v>14</v>
      </c>
      <c r="I4" s="52" t="s">
        <v>15</v>
      </c>
      <c r="J4" s="53" t="s">
        <v>14</v>
      </c>
      <c r="K4" s="53" t="s">
        <v>15</v>
      </c>
      <c r="L4" s="53" t="s">
        <v>14</v>
      </c>
      <c r="M4" s="53" t="s">
        <v>15</v>
      </c>
      <c r="N4" s="53" t="s">
        <v>14</v>
      </c>
      <c r="O4" s="53" t="s">
        <v>15</v>
      </c>
      <c r="P4" s="53" t="s">
        <v>14</v>
      </c>
      <c r="Q4" s="53" t="s">
        <v>15</v>
      </c>
      <c r="R4" s="53" t="s">
        <v>14</v>
      </c>
      <c r="S4" s="53" t="s">
        <v>15</v>
      </c>
      <c r="T4" s="53" t="s">
        <v>14</v>
      </c>
      <c r="U4" s="53" t="s">
        <v>15</v>
      </c>
      <c r="V4" s="53" t="s">
        <v>14</v>
      </c>
      <c r="W4" s="53" t="s">
        <v>15</v>
      </c>
    </row>
    <row r="5" spans="1:23" s="24" customFormat="1" ht="27.75" customHeight="1" x14ac:dyDescent="0.15">
      <c r="A5" s="54" t="s">
        <v>16</v>
      </c>
      <c r="B5" s="78">
        <v>37.94</v>
      </c>
      <c r="C5" s="79">
        <v>9</v>
      </c>
      <c r="D5" s="79">
        <v>0</v>
      </c>
      <c r="E5" s="79">
        <v>0</v>
      </c>
      <c r="F5" s="78">
        <v>10.42</v>
      </c>
      <c r="G5" s="79">
        <v>2</v>
      </c>
      <c r="H5" s="12">
        <v>0</v>
      </c>
      <c r="I5" s="13">
        <v>0</v>
      </c>
      <c r="J5" s="79">
        <v>0</v>
      </c>
      <c r="K5" s="79">
        <v>0</v>
      </c>
      <c r="L5" s="78">
        <v>16.32</v>
      </c>
      <c r="M5" s="79">
        <v>4</v>
      </c>
      <c r="N5" s="79">
        <v>0</v>
      </c>
      <c r="O5" s="79">
        <v>0</v>
      </c>
      <c r="P5" s="78">
        <v>40.64</v>
      </c>
      <c r="Q5" s="79">
        <v>7</v>
      </c>
      <c r="R5" s="78">
        <v>0</v>
      </c>
      <c r="S5" s="79">
        <v>0</v>
      </c>
      <c r="T5" s="79">
        <v>0</v>
      </c>
      <c r="U5" s="79">
        <v>0</v>
      </c>
      <c r="V5" s="78">
        <f t="shared" ref="V5:V36" si="0">B5+D5+F5+H5+L5+N5+P5+R5+T5</f>
        <v>105.32</v>
      </c>
      <c r="W5" s="77">
        <f t="shared" ref="W5:W36" si="1">C5+E5+G5+I5+M5+O5+Q5+S5+U5</f>
        <v>22</v>
      </c>
    </row>
    <row r="6" spans="1:23" s="24" customFormat="1" ht="27.75" customHeight="1" x14ac:dyDescent="0.15">
      <c r="A6" s="54" t="s">
        <v>17</v>
      </c>
      <c r="B6" s="78">
        <v>36.72</v>
      </c>
      <c r="C6" s="79">
        <v>9</v>
      </c>
      <c r="D6" s="79">
        <v>0</v>
      </c>
      <c r="E6" s="79">
        <v>0</v>
      </c>
      <c r="F6" s="78">
        <v>11.8</v>
      </c>
      <c r="G6" s="79">
        <v>2</v>
      </c>
      <c r="H6" s="12">
        <v>0</v>
      </c>
      <c r="I6" s="13">
        <v>0</v>
      </c>
      <c r="J6" s="79">
        <v>0</v>
      </c>
      <c r="K6" s="79">
        <v>0</v>
      </c>
      <c r="L6" s="78">
        <v>14.72</v>
      </c>
      <c r="M6" s="79">
        <v>3</v>
      </c>
      <c r="N6" s="79">
        <v>0</v>
      </c>
      <c r="O6" s="79">
        <v>0</v>
      </c>
      <c r="P6" s="78">
        <v>50.5</v>
      </c>
      <c r="Q6" s="79">
        <v>7</v>
      </c>
      <c r="R6" s="78">
        <v>0</v>
      </c>
      <c r="S6" s="79">
        <v>0</v>
      </c>
      <c r="T6" s="79">
        <v>0</v>
      </c>
      <c r="U6" s="79">
        <v>0</v>
      </c>
      <c r="V6" s="78">
        <f t="shared" si="0"/>
        <v>113.74</v>
      </c>
      <c r="W6" s="77">
        <f t="shared" si="1"/>
        <v>21</v>
      </c>
    </row>
    <row r="7" spans="1:23" s="24" customFormat="1" ht="27.75" customHeight="1" x14ac:dyDescent="0.15">
      <c r="A7" s="54" t="s">
        <v>18</v>
      </c>
      <c r="B7" s="78">
        <v>50.64</v>
      </c>
      <c r="C7" s="79">
        <v>10</v>
      </c>
      <c r="D7" s="79">
        <v>0</v>
      </c>
      <c r="E7" s="79">
        <v>0</v>
      </c>
      <c r="F7" s="78">
        <v>6.02</v>
      </c>
      <c r="G7" s="79">
        <v>1</v>
      </c>
      <c r="H7" s="12">
        <v>0</v>
      </c>
      <c r="I7" s="13">
        <v>0</v>
      </c>
      <c r="J7" s="79">
        <v>0</v>
      </c>
      <c r="K7" s="79">
        <v>0</v>
      </c>
      <c r="L7" s="78">
        <v>9.76</v>
      </c>
      <c r="M7" s="79">
        <v>2</v>
      </c>
      <c r="N7" s="79">
        <v>0</v>
      </c>
      <c r="O7" s="79">
        <v>0</v>
      </c>
      <c r="P7" s="78">
        <v>37.68</v>
      </c>
      <c r="Q7" s="79">
        <v>7</v>
      </c>
      <c r="R7" s="78">
        <v>8.64</v>
      </c>
      <c r="S7" s="79">
        <v>1</v>
      </c>
      <c r="T7" s="79">
        <v>0</v>
      </c>
      <c r="U7" s="79">
        <v>0</v>
      </c>
      <c r="V7" s="78">
        <f t="shared" si="0"/>
        <v>112.74</v>
      </c>
      <c r="W7" s="77">
        <f t="shared" si="1"/>
        <v>21</v>
      </c>
    </row>
    <row r="8" spans="1:23" s="24" customFormat="1" ht="27.75" customHeight="1" x14ac:dyDescent="0.15">
      <c r="A8" s="54" t="s">
        <v>19</v>
      </c>
      <c r="B8" s="78">
        <v>41.32</v>
      </c>
      <c r="C8" s="79">
        <v>9</v>
      </c>
      <c r="D8" s="79">
        <v>0</v>
      </c>
      <c r="E8" s="79">
        <v>0</v>
      </c>
      <c r="F8" s="78">
        <v>9.8000000000000007</v>
      </c>
      <c r="G8" s="79">
        <v>2</v>
      </c>
      <c r="H8" s="12">
        <v>0</v>
      </c>
      <c r="I8" s="13">
        <v>0</v>
      </c>
      <c r="J8" s="79">
        <v>0</v>
      </c>
      <c r="K8" s="79">
        <v>0</v>
      </c>
      <c r="L8" s="78">
        <v>14.3</v>
      </c>
      <c r="M8" s="79">
        <v>3</v>
      </c>
      <c r="N8" s="79">
        <v>0</v>
      </c>
      <c r="O8" s="79">
        <v>0</v>
      </c>
      <c r="P8" s="78">
        <v>54.94</v>
      </c>
      <c r="Q8" s="79">
        <v>8</v>
      </c>
      <c r="R8" s="79">
        <v>0</v>
      </c>
      <c r="S8" s="79">
        <v>0</v>
      </c>
      <c r="T8" s="79">
        <v>0</v>
      </c>
      <c r="U8" s="79">
        <v>0</v>
      </c>
      <c r="V8" s="78">
        <f t="shared" si="0"/>
        <v>120.36</v>
      </c>
      <c r="W8" s="77">
        <f t="shared" si="1"/>
        <v>22</v>
      </c>
    </row>
    <row r="9" spans="1:23" s="24" customFormat="1" ht="27.75" customHeight="1" x14ac:dyDescent="0.15">
      <c r="A9" s="54" t="s">
        <v>20</v>
      </c>
      <c r="B9" s="78">
        <v>35.08</v>
      </c>
      <c r="C9" s="79">
        <v>8</v>
      </c>
      <c r="D9" s="79">
        <v>0</v>
      </c>
      <c r="E9" s="79">
        <v>0</v>
      </c>
      <c r="F9" s="78">
        <v>11.1</v>
      </c>
      <c r="G9" s="79">
        <v>2</v>
      </c>
      <c r="H9" s="12">
        <v>0</v>
      </c>
      <c r="I9" s="13">
        <v>0</v>
      </c>
      <c r="J9" s="79">
        <v>0</v>
      </c>
      <c r="K9" s="79">
        <v>0</v>
      </c>
      <c r="L9" s="78">
        <v>17.36</v>
      </c>
      <c r="M9" s="79">
        <v>4</v>
      </c>
      <c r="N9" s="79">
        <v>0</v>
      </c>
      <c r="O9" s="79">
        <v>0</v>
      </c>
      <c r="P9" s="78">
        <v>37.56</v>
      </c>
      <c r="Q9" s="79">
        <v>6</v>
      </c>
      <c r="R9" s="79">
        <v>0</v>
      </c>
      <c r="S9" s="79">
        <v>0</v>
      </c>
      <c r="T9" s="79">
        <v>0</v>
      </c>
      <c r="U9" s="79">
        <v>0</v>
      </c>
      <c r="V9" s="78">
        <f t="shared" si="0"/>
        <v>101.1</v>
      </c>
      <c r="W9" s="77">
        <f t="shared" si="1"/>
        <v>20</v>
      </c>
    </row>
    <row r="10" spans="1:23" s="24" customFormat="1" ht="27.75" customHeight="1" x14ac:dyDescent="0.15">
      <c r="A10" s="54" t="s">
        <v>21</v>
      </c>
      <c r="B10" s="78">
        <v>57.92</v>
      </c>
      <c r="C10" s="79">
        <v>12</v>
      </c>
      <c r="D10" s="79">
        <v>0</v>
      </c>
      <c r="E10" s="79">
        <v>0</v>
      </c>
      <c r="F10" s="78">
        <v>11.56</v>
      </c>
      <c r="G10" s="79">
        <v>2</v>
      </c>
      <c r="H10" s="12">
        <v>0</v>
      </c>
      <c r="I10" s="13">
        <v>0</v>
      </c>
      <c r="J10" s="79">
        <v>0</v>
      </c>
      <c r="K10" s="79">
        <v>0</v>
      </c>
      <c r="L10" s="78">
        <v>17.54</v>
      </c>
      <c r="M10" s="79">
        <v>4</v>
      </c>
      <c r="N10" s="79">
        <v>0</v>
      </c>
      <c r="O10" s="79">
        <v>0</v>
      </c>
      <c r="P10" s="78">
        <v>66.36</v>
      </c>
      <c r="Q10" s="79">
        <v>10</v>
      </c>
      <c r="R10" s="79">
        <v>0</v>
      </c>
      <c r="S10" s="79">
        <v>0</v>
      </c>
      <c r="T10" s="79">
        <v>0</v>
      </c>
      <c r="U10" s="79">
        <v>0</v>
      </c>
      <c r="V10" s="78">
        <f t="shared" si="0"/>
        <v>153.38</v>
      </c>
      <c r="W10" s="77">
        <f t="shared" si="1"/>
        <v>28</v>
      </c>
    </row>
    <row r="11" spans="1:23" s="24" customFormat="1" ht="27.75" customHeight="1" x14ac:dyDescent="0.15">
      <c r="A11" s="54" t="s">
        <v>22</v>
      </c>
      <c r="B11" s="78">
        <v>50.52</v>
      </c>
      <c r="C11" s="79">
        <v>11</v>
      </c>
      <c r="D11" s="79">
        <v>0</v>
      </c>
      <c r="E11" s="79">
        <v>0</v>
      </c>
      <c r="F11" s="78">
        <v>11.86</v>
      </c>
      <c r="G11" s="79">
        <v>2</v>
      </c>
      <c r="H11" s="12">
        <v>0</v>
      </c>
      <c r="I11" s="13">
        <v>0</v>
      </c>
      <c r="J11" s="79">
        <v>0</v>
      </c>
      <c r="K11" s="79">
        <v>0</v>
      </c>
      <c r="L11" s="78">
        <v>16.32</v>
      </c>
      <c r="M11" s="79">
        <v>4</v>
      </c>
      <c r="N11" s="79">
        <v>0</v>
      </c>
      <c r="O11" s="79">
        <v>0</v>
      </c>
      <c r="P11" s="78">
        <v>61.08</v>
      </c>
      <c r="Q11" s="79">
        <v>10</v>
      </c>
      <c r="R11" s="79">
        <v>0</v>
      </c>
      <c r="S11" s="79">
        <v>0</v>
      </c>
      <c r="T11" s="79">
        <v>0</v>
      </c>
      <c r="U11" s="79">
        <v>0</v>
      </c>
      <c r="V11" s="78">
        <f t="shared" si="0"/>
        <v>139.78</v>
      </c>
      <c r="W11" s="77">
        <f t="shared" si="1"/>
        <v>27</v>
      </c>
    </row>
    <row r="12" spans="1:23" s="24" customFormat="1" ht="27.75" customHeight="1" x14ac:dyDescent="0.15">
      <c r="A12" s="54" t="s">
        <v>23</v>
      </c>
      <c r="B12" s="78">
        <v>57.8</v>
      </c>
      <c r="C12" s="79">
        <v>12</v>
      </c>
      <c r="D12" s="79">
        <v>0</v>
      </c>
      <c r="E12" s="79">
        <v>0</v>
      </c>
      <c r="F12" s="78">
        <v>12.5</v>
      </c>
      <c r="G12" s="79">
        <v>2</v>
      </c>
      <c r="H12" s="12">
        <v>0</v>
      </c>
      <c r="I12" s="13">
        <v>0</v>
      </c>
      <c r="J12" s="79">
        <v>0</v>
      </c>
      <c r="K12" s="79">
        <v>0</v>
      </c>
      <c r="L12" s="78">
        <v>13.14</v>
      </c>
      <c r="M12" s="79">
        <v>3</v>
      </c>
      <c r="N12" s="79">
        <v>0</v>
      </c>
      <c r="O12" s="79">
        <v>0</v>
      </c>
      <c r="P12" s="78">
        <v>57.14</v>
      </c>
      <c r="Q12" s="79">
        <v>9</v>
      </c>
      <c r="R12" s="79">
        <v>0</v>
      </c>
      <c r="S12" s="79">
        <v>0</v>
      </c>
      <c r="T12" s="79">
        <v>0</v>
      </c>
      <c r="U12" s="79">
        <v>0</v>
      </c>
      <c r="V12" s="78">
        <f t="shared" si="0"/>
        <v>140.58000000000001</v>
      </c>
      <c r="W12" s="77">
        <f t="shared" si="1"/>
        <v>26</v>
      </c>
    </row>
    <row r="13" spans="1:23" s="24" customFormat="1" ht="27.75" customHeight="1" x14ac:dyDescent="0.15">
      <c r="A13" s="54" t="s">
        <v>24</v>
      </c>
      <c r="B13" s="78">
        <v>42.94</v>
      </c>
      <c r="C13" s="79">
        <v>8</v>
      </c>
      <c r="D13" s="79">
        <v>0</v>
      </c>
      <c r="E13" s="79">
        <v>0</v>
      </c>
      <c r="F13" s="78">
        <v>11.7</v>
      </c>
      <c r="G13" s="79">
        <v>2</v>
      </c>
      <c r="H13" s="12">
        <v>0</v>
      </c>
      <c r="I13" s="13">
        <v>0</v>
      </c>
      <c r="J13" s="79">
        <v>0</v>
      </c>
      <c r="K13" s="79">
        <v>0</v>
      </c>
      <c r="L13" s="78">
        <v>12.5</v>
      </c>
      <c r="M13" s="79">
        <v>3</v>
      </c>
      <c r="N13" s="79">
        <v>0</v>
      </c>
      <c r="O13" s="79">
        <v>0</v>
      </c>
      <c r="P13" s="78">
        <v>52.18</v>
      </c>
      <c r="Q13" s="79">
        <v>8</v>
      </c>
      <c r="R13" s="79">
        <v>0</v>
      </c>
      <c r="S13" s="79">
        <v>0</v>
      </c>
      <c r="T13" s="79">
        <v>0</v>
      </c>
      <c r="U13" s="79">
        <v>0</v>
      </c>
      <c r="V13" s="78">
        <f t="shared" si="0"/>
        <v>119.32</v>
      </c>
      <c r="W13" s="77">
        <f t="shared" si="1"/>
        <v>21</v>
      </c>
    </row>
    <row r="14" spans="1:23" s="24" customFormat="1" ht="27.75" customHeight="1" x14ac:dyDescent="0.15">
      <c r="A14" s="54" t="s">
        <v>25</v>
      </c>
      <c r="B14" s="78">
        <v>48.58</v>
      </c>
      <c r="C14" s="79">
        <v>9</v>
      </c>
      <c r="D14" s="79">
        <v>0</v>
      </c>
      <c r="E14" s="79">
        <v>0</v>
      </c>
      <c r="F14" s="78">
        <v>5.66</v>
      </c>
      <c r="G14" s="79">
        <v>1</v>
      </c>
      <c r="H14" s="12">
        <v>0</v>
      </c>
      <c r="I14" s="13">
        <v>0</v>
      </c>
      <c r="J14" s="79">
        <v>0</v>
      </c>
      <c r="K14" s="79">
        <v>0</v>
      </c>
      <c r="L14" s="78">
        <v>15.66</v>
      </c>
      <c r="M14" s="79">
        <v>3</v>
      </c>
      <c r="N14" s="79">
        <v>0</v>
      </c>
      <c r="O14" s="79">
        <v>0</v>
      </c>
      <c r="P14" s="78">
        <v>56.84</v>
      </c>
      <c r="Q14" s="79">
        <v>9</v>
      </c>
      <c r="R14" s="78">
        <v>9.16</v>
      </c>
      <c r="S14" s="79">
        <v>1</v>
      </c>
      <c r="T14" s="79">
        <v>0</v>
      </c>
      <c r="U14" s="79">
        <v>0</v>
      </c>
      <c r="V14" s="78">
        <f t="shared" si="0"/>
        <v>135.9</v>
      </c>
      <c r="W14" s="77">
        <f t="shared" si="1"/>
        <v>23</v>
      </c>
    </row>
    <row r="15" spans="1:23" s="24" customFormat="1" ht="27.75" customHeight="1" x14ac:dyDescent="0.15">
      <c r="A15" s="54" t="s">
        <v>26</v>
      </c>
      <c r="B15" s="78">
        <v>49.16</v>
      </c>
      <c r="C15" s="79">
        <v>10</v>
      </c>
      <c r="D15" s="79">
        <v>0</v>
      </c>
      <c r="E15" s="79">
        <v>0</v>
      </c>
      <c r="F15" s="78">
        <v>11.32</v>
      </c>
      <c r="G15" s="79">
        <v>2</v>
      </c>
      <c r="H15" s="12">
        <v>0</v>
      </c>
      <c r="I15" s="13">
        <v>0</v>
      </c>
      <c r="J15" s="79">
        <v>0</v>
      </c>
      <c r="K15" s="79">
        <v>0</v>
      </c>
      <c r="L15" s="78">
        <v>9.26</v>
      </c>
      <c r="M15" s="79">
        <v>2</v>
      </c>
      <c r="N15" s="79">
        <v>0</v>
      </c>
      <c r="O15" s="79">
        <v>0</v>
      </c>
      <c r="P15" s="78">
        <v>50</v>
      </c>
      <c r="Q15" s="79">
        <v>8</v>
      </c>
      <c r="R15" s="79">
        <v>0</v>
      </c>
      <c r="S15" s="79">
        <v>0</v>
      </c>
      <c r="T15" s="79">
        <v>0</v>
      </c>
      <c r="U15" s="79">
        <v>0</v>
      </c>
      <c r="V15" s="78">
        <f t="shared" si="0"/>
        <v>119.74</v>
      </c>
      <c r="W15" s="77">
        <f t="shared" si="1"/>
        <v>22</v>
      </c>
    </row>
    <row r="16" spans="1:23" s="24" customFormat="1" ht="27.75" customHeight="1" x14ac:dyDescent="0.15">
      <c r="A16" s="54" t="s">
        <v>27</v>
      </c>
      <c r="B16" s="78">
        <v>44.52</v>
      </c>
      <c r="C16" s="79">
        <v>11</v>
      </c>
      <c r="D16" s="79">
        <v>0</v>
      </c>
      <c r="E16" s="79">
        <v>0</v>
      </c>
      <c r="F16" s="78">
        <v>11.56</v>
      </c>
      <c r="G16" s="79">
        <v>2</v>
      </c>
      <c r="H16" s="12">
        <v>0</v>
      </c>
      <c r="I16" s="13">
        <v>0</v>
      </c>
      <c r="J16" s="79">
        <v>0</v>
      </c>
      <c r="K16" s="79">
        <v>0</v>
      </c>
      <c r="L16" s="78">
        <v>24.72</v>
      </c>
      <c r="M16" s="79">
        <v>5</v>
      </c>
      <c r="N16" s="79">
        <v>0</v>
      </c>
      <c r="O16" s="79">
        <v>0</v>
      </c>
      <c r="P16" s="78">
        <v>65.739999999999995</v>
      </c>
      <c r="Q16" s="79">
        <v>10</v>
      </c>
      <c r="R16" s="79">
        <v>0</v>
      </c>
      <c r="S16" s="79">
        <v>0</v>
      </c>
      <c r="T16" s="79">
        <v>0</v>
      </c>
      <c r="U16" s="79">
        <v>0</v>
      </c>
      <c r="V16" s="78">
        <f t="shared" si="0"/>
        <v>146.54</v>
      </c>
      <c r="W16" s="77">
        <f t="shared" si="1"/>
        <v>28</v>
      </c>
    </row>
    <row r="17" spans="1:23" s="24" customFormat="1" ht="27.75" customHeight="1" x14ac:dyDescent="0.15">
      <c r="A17" s="54" t="s">
        <v>28</v>
      </c>
      <c r="B17" s="78">
        <v>40.46</v>
      </c>
      <c r="C17" s="79">
        <v>9</v>
      </c>
      <c r="D17" s="79">
        <v>0</v>
      </c>
      <c r="E17" s="79">
        <v>0</v>
      </c>
      <c r="F17" s="78">
        <v>17.04</v>
      </c>
      <c r="G17" s="79">
        <v>3</v>
      </c>
      <c r="H17" s="12">
        <v>0</v>
      </c>
      <c r="I17" s="13">
        <v>0</v>
      </c>
      <c r="J17" s="79">
        <v>0</v>
      </c>
      <c r="K17" s="79">
        <v>0</v>
      </c>
      <c r="L17" s="78">
        <v>18.96</v>
      </c>
      <c r="M17" s="79">
        <v>4</v>
      </c>
      <c r="N17" s="79">
        <v>0</v>
      </c>
      <c r="O17" s="79">
        <v>0</v>
      </c>
      <c r="P17" s="78">
        <v>48.1</v>
      </c>
      <c r="Q17" s="79">
        <v>8</v>
      </c>
      <c r="R17" s="79">
        <v>0</v>
      </c>
      <c r="S17" s="79">
        <v>0</v>
      </c>
      <c r="T17" s="79">
        <v>0</v>
      </c>
      <c r="U17" s="79">
        <v>0</v>
      </c>
      <c r="V17" s="78">
        <f t="shared" si="0"/>
        <v>124.56</v>
      </c>
      <c r="W17" s="77">
        <f t="shared" si="1"/>
        <v>24</v>
      </c>
    </row>
    <row r="18" spans="1:23" s="24" customFormat="1" ht="27.75" customHeight="1" x14ac:dyDescent="0.15">
      <c r="A18" s="54" t="s">
        <v>29</v>
      </c>
      <c r="B18" s="78">
        <v>62.38</v>
      </c>
      <c r="C18" s="79">
        <v>13</v>
      </c>
      <c r="D18" s="79">
        <v>0</v>
      </c>
      <c r="E18" s="79">
        <v>0</v>
      </c>
      <c r="F18" s="78">
        <v>12.64</v>
      </c>
      <c r="G18" s="79">
        <v>3</v>
      </c>
      <c r="H18" s="12">
        <v>0</v>
      </c>
      <c r="I18" s="13">
        <v>0</v>
      </c>
      <c r="J18" s="79">
        <v>0</v>
      </c>
      <c r="K18" s="79">
        <v>0</v>
      </c>
      <c r="L18" s="78">
        <v>16.54</v>
      </c>
      <c r="M18" s="79">
        <v>4</v>
      </c>
      <c r="N18" s="79">
        <v>0</v>
      </c>
      <c r="O18" s="79">
        <v>0</v>
      </c>
      <c r="P18" s="78">
        <v>62.6</v>
      </c>
      <c r="Q18" s="79">
        <v>9</v>
      </c>
      <c r="R18" s="79">
        <v>0</v>
      </c>
      <c r="S18" s="79">
        <v>0</v>
      </c>
      <c r="T18" s="79">
        <v>0</v>
      </c>
      <c r="U18" s="79">
        <v>0</v>
      </c>
      <c r="V18" s="78">
        <f t="shared" si="0"/>
        <v>154.16</v>
      </c>
      <c r="W18" s="77">
        <f t="shared" si="1"/>
        <v>29</v>
      </c>
    </row>
    <row r="19" spans="1:23" s="24" customFormat="1" ht="27.75" customHeight="1" x14ac:dyDescent="0.15">
      <c r="A19" s="54" t="s">
        <v>30</v>
      </c>
      <c r="B19" s="78">
        <v>49.68</v>
      </c>
      <c r="C19" s="79">
        <v>11</v>
      </c>
      <c r="D19" s="79">
        <v>0</v>
      </c>
      <c r="E19" s="79">
        <v>0</v>
      </c>
      <c r="F19" s="78">
        <v>15.14</v>
      </c>
      <c r="G19" s="79">
        <v>3</v>
      </c>
      <c r="H19" s="12">
        <v>0</v>
      </c>
      <c r="I19" s="13">
        <v>0</v>
      </c>
      <c r="J19" s="79">
        <v>0</v>
      </c>
      <c r="K19" s="79">
        <v>0</v>
      </c>
      <c r="L19" s="78">
        <v>16.72</v>
      </c>
      <c r="M19" s="79">
        <v>4</v>
      </c>
      <c r="N19" s="79">
        <v>0</v>
      </c>
      <c r="O19" s="79">
        <v>0</v>
      </c>
      <c r="P19" s="78">
        <v>53.24</v>
      </c>
      <c r="Q19" s="79">
        <v>8</v>
      </c>
      <c r="R19" s="79">
        <v>0</v>
      </c>
      <c r="S19" s="79">
        <v>0</v>
      </c>
      <c r="T19" s="79">
        <v>0</v>
      </c>
      <c r="U19" s="79">
        <v>0</v>
      </c>
      <c r="V19" s="78">
        <f t="shared" si="0"/>
        <v>134.78</v>
      </c>
      <c r="W19" s="77">
        <f t="shared" si="1"/>
        <v>26</v>
      </c>
    </row>
    <row r="20" spans="1:23" s="24" customFormat="1" ht="27.75" customHeight="1" x14ac:dyDescent="0.15">
      <c r="A20" s="54" t="s">
        <v>31</v>
      </c>
      <c r="B20" s="78">
        <v>44.12</v>
      </c>
      <c r="C20" s="79">
        <v>9</v>
      </c>
      <c r="D20" s="79">
        <v>0</v>
      </c>
      <c r="E20" s="79">
        <v>0</v>
      </c>
      <c r="F20" s="78">
        <v>9.6199999999999992</v>
      </c>
      <c r="G20" s="79">
        <v>2</v>
      </c>
      <c r="H20" s="12">
        <v>0</v>
      </c>
      <c r="I20" s="13">
        <v>0</v>
      </c>
      <c r="J20" s="79">
        <v>0</v>
      </c>
      <c r="K20" s="79">
        <v>0</v>
      </c>
      <c r="L20" s="78">
        <v>16.02</v>
      </c>
      <c r="M20" s="79">
        <v>4</v>
      </c>
      <c r="N20" s="79">
        <v>0</v>
      </c>
      <c r="O20" s="79">
        <v>0</v>
      </c>
      <c r="P20" s="78">
        <v>66.86</v>
      </c>
      <c r="Q20" s="79">
        <v>10</v>
      </c>
      <c r="R20" s="79">
        <v>0</v>
      </c>
      <c r="S20" s="79">
        <v>0</v>
      </c>
      <c r="T20" s="79">
        <v>0</v>
      </c>
      <c r="U20" s="79">
        <v>0</v>
      </c>
      <c r="V20" s="78">
        <f t="shared" si="0"/>
        <v>136.62</v>
      </c>
      <c r="W20" s="77">
        <f t="shared" si="1"/>
        <v>25</v>
      </c>
    </row>
    <row r="21" spans="1:23" s="24" customFormat="1" ht="27.75" customHeight="1" x14ac:dyDescent="0.15">
      <c r="A21" s="54" t="s">
        <v>32</v>
      </c>
      <c r="B21" s="78">
        <v>48.48</v>
      </c>
      <c r="C21" s="79">
        <v>10</v>
      </c>
      <c r="D21" s="79">
        <v>0</v>
      </c>
      <c r="E21" s="79">
        <v>0</v>
      </c>
      <c r="F21" s="78">
        <v>8.7200000000000006</v>
      </c>
      <c r="G21" s="79">
        <v>2</v>
      </c>
      <c r="H21" s="12">
        <v>0</v>
      </c>
      <c r="I21" s="13">
        <v>0</v>
      </c>
      <c r="J21" s="79">
        <v>0</v>
      </c>
      <c r="K21" s="79">
        <v>0</v>
      </c>
      <c r="L21" s="78">
        <v>7.86</v>
      </c>
      <c r="M21" s="79">
        <v>2</v>
      </c>
      <c r="N21" s="79">
        <v>0</v>
      </c>
      <c r="O21" s="79">
        <v>0</v>
      </c>
      <c r="P21" s="78">
        <v>45.08</v>
      </c>
      <c r="Q21" s="79">
        <v>7</v>
      </c>
      <c r="R21" s="78">
        <v>9.0399999999999991</v>
      </c>
      <c r="S21" s="79">
        <v>1</v>
      </c>
      <c r="T21" s="79">
        <v>0</v>
      </c>
      <c r="U21" s="79">
        <v>0</v>
      </c>
      <c r="V21" s="78">
        <f t="shared" si="0"/>
        <v>119.18</v>
      </c>
      <c r="W21" s="77">
        <f t="shared" si="1"/>
        <v>22</v>
      </c>
    </row>
    <row r="22" spans="1:23" s="24" customFormat="1" ht="27.75" customHeight="1" x14ac:dyDescent="0.15">
      <c r="A22" s="54" t="s">
        <v>33</v>
      </c>
      <c r="B22" s="78">
        <v>44.1</v>
      </c>
      <c r="C22" s="79">
        <v>9</v>
      </c>
      <c r="D22" s="79">
        <v>0</v>
      </c>
      <c r="E22" s="79">
        <v>0</v>
      </c>
      <c r="F22" s="78">
        <v>4.04</v>
      </c>
      <c r="G22" s="79">
        <v>1</v>
      </c>
      <c r="H22" s="12">
        <v>0</v>
      </c>
      <c r="I22" s="13">
        <v>0</v>
      </c>
      <c r="J22" s="79">
        <v>0</v>
      </c>
      <c r="K22" s="79">
        <v>0</v>
      </c>
      <c r="L22" s="78">
        <v>13.8</v>
      </c>
      <c r="M22" s="79">
        <v>3</v>
      </c>
      <c r="N22" s="79">
        <v>0</v>
      </c>
      <c r="O22" s="79">
        <v>0</v>
      </c>
      <c r="P22" s="78">
        <v>58.28</v>
      </c>
      <c r="Q22" s="79">
        <v>8</v>
      </c>
      <c r="R22" s="78">
        <v>0</v>
      </c>
      <c r="S22" s="79">
        <v>0</v>
      </c>
      <c r="T22" s="79">
        <v>0</v>
      </c>
      <c r="U22" s="79">
        <v>0</v>
      </c>
      <c r="V22" s="78">
        <f t="shared" si="0"/>
        <v>120.22</v>
      </c>
      <c r="W22" s="77">
        <f t="shared" si="1"/>
        <v>21</v>
      </c>
    </row>
    <row r="23" spans="1:23" s="24" customFormat="1" ht="27.75" customHeight="1" x14ac:dyDescent="0.15">
      <c r="A23" s="54" t="s">
        <v>34</v>
      </c>
      <c r="B23" s="78">
        <v>49.02</v>
      </c>
      <c r="C23" s="79">
        <v>11</v>
      </c>
      <c r="D23" s="79">
        <v>0</v>
      </c>
      <c r="E23" s="79">
        <v>0</v>
      </c>
      <c r="F23" s="78">
        <v>17.98</v>
      </c>
      <c r="G23" s="79">
        <v>3</v>
      </c>
      <c r="H23" s="12">
        <v>0</v>
      </c>
      <c r="I23" s="13">
        <v>0</v>
      </c>
      <c r="J23" s="79">
        <v>0</v>
      </c>
      <c r="K23" s="79">
        <v>0</v>
      </c>
      <c r="L23" s="78">
        <v>15.44</v>
      </c>
      <c r="M23" s="79">
        <v>4</v>
      </c>
      <c r="N23" s="78">
        <v>6.4</v>
      </c>
      <c r="O23" s="79">
        <v>1</v>
      </c>
      <c r="P23" s="78">
        <v>53.4</v>
      </c>
      <c r="Q23" s="79">
        <v>8</v>
      </c>
      <c r="R23" s="78">
        <v>9.3800000000000008</v>
      </c>
      <c r="S23" s="79">
        <v>2</v>
      </c>
      <c r="T23" s="78">
        <v>19.04</v>
      </c>
      <c r="U23" s="79">
        <v>2</v>
      </c>
      <c r="V23" s="78">
        <f t="shared" si="0"/>
        <v>170.66</v>
      </c>
      <c r="W23" s="77">
        <f t="shared" si="1"/>
        <v>31</v>
      </c>
    </row>
    <row r="24" spans="1:23" s="24" customFormat="1" ht="27.75" customHeight="1" x14ac:dyDescent="0.15">
      <c r="A24" s="54" t="s">
        <v>35</v>
      </c>
      <c r="B24" s="78">
        <v>52.1</v>
      </c>
      <c r="C24" s="79">
        <v>10</v>
      </c>
      <c r="D24" s="78">
        <v>21.92</v>
      </c>
      <c r="E24" s="79">
        <v>4</v>
      </c>
      <c r="F24" s="78">
        <v>9.1</v>
      </c>
      <c r="G24" s="79">
        <v>2</v>
      </c>
      <c r="H24" s="78">
        <v>8.2799999999999994</v>
      </c>
      <c r="I24" s="79">
        <v>1</v>
      </c>
      <c r="J24" s="79">
        <v>0</v>
      </c>
      <c r="K24" s="79">
        <v>0</v>
      </c>
      <c r="L24" s="78">
        <v>18.52</v>
      </c>
      <c r="M24" s="79">
        <v>4</v>
      </c>
      <c r="N24" s="78">
        <v>12.38</v>
      </c>
      <c r="O24" s="79">
        <v>2</v>
      </c>
      <c r="P24" s="78">
        <v>57.9</v>
      </c>
      <c r="Q24" s="79">
        <v>8</v>
      </c>
      <c r="R24" s="78">
        <v>4</v>
      </c>
      <c r="S24" s="79">
        <v>1</v>
      </c>
      <c r="T24" s="78">
        <v>36.840000000000003</v>
      </c>
      <c r="U24" s="79">
        <v>4</v>
      </c>
      <c r="V24" s="78">
        <f t="shared" si="0"/>
        <v>221.04</v>
      </c>
      <c r="W24" s="77">
        <f t="shared" si="1"/>
        <v>36</v>
      </c>
    </row>
    <row r="25" spans="1:23" s="24" customFormat="1" ht="27.75" customHeight="1" x14ac:dyDescent="0.15">
      <c r="A25" s="54" t="s">
        <v>36</v>
      </c>
      <c r="B25" s="82">
        <v>59.36</v>
      </c>
      <c r="C25" s="79">
        <v>12</v>
      </c>
      <c r="D25" s="82">
        <v>19.3</v>
      </c>
      <c r="E25" s="79">
        <v>4</v>
      </c>
      <c r="F25" s="82">
        <v>11.18</v>
      </c>
      <c r="G25" s="79">
        <v>2</v>
      </c>
      <c r="H25" s="82">
        <v>11.26</v>
      </c>
      <c r="I25" s="79">
        <v>2</v>
      </c>
      <c r="J25" s="79">
        <v>0</v>
      </c>
      <c r="K25" s="79">
        <v>0</v>
      </c>
      <c r="L25" s="82">
        <v>16.559999999999999</v>
      </c>
      <c r="M25" s="79">
        <v>4</v>
      </c>
      <c r="N25" s="82">
        <v>23.06</v>
      </c>
      <c r="O25" s="79">
        <v>3</v>
      </c>
      <c r="P25" s="82">
        <v>53.46</v>
      </c>
      <c r="Q25" s="79">
        <v>8</v>
      </c>
      <c r="R25" s="82">
        <v>5.78</v>
      </c>
      <c r="S25" s="79">
        <v>1</v>
      </c>
      <c r="T25" s="82">
        <v>29.22</v>
      </c>
      <c r="U25" s="79">
        <v>4</v>
      </c>
      <c r="V25" s="78">
        <f t="shared" si="0"/>
        <v>229.18</v>
      </c>
      <c r="W25" s="77">
        <f t="shared" si="1"/>
        <v>40</v>
      </c>
    </row>
    <row r="26" spans="1:23" s="24" customFormat="1" ht="27.75" customHeight="1" x14ac:dyDescent="0.15">
      <c r="A26" s="54" t="s">
        <v>37</v>
      </c>
      <c r="B26" s="82">
        <v>45.7</v>
      </c>
      <c r="C26" s="79">
        <v>10</v>
      </c>
      <c r="D26" s="82">
        <v>20.260000000000002</v>
      </c>
      <c r="E26" s="79">
        <v>4</v>
      </c>
      <c r="F26" s="82">
        <v>21.52</v>
      </c>
      <c r="G26" s="79">
        <v>4</v>
      </c>
      <c r="H26" s="82">
        <v>17.22</v>
      </c>
      <c r="I26" s="79">
        <v>2</v>
      </c>
      <c r="J26" s="79">
        <v>0</v>
      </c>
      <c r="K26" s="79">
        <v>0</v>
      </c>
      <c r="L26" s="82">
        <v>20.54</v>
      </c>
      <c r="M26" s="79">
        <v>4</v>
      </c>
      <c r="N26" s="82">
        <v>17.579999999999998</v>
      </c>
      <c r="O26" s="79">
        <v>2</v>
      </c>
      <c r="P26" s="82">
        <v>64.819999999999993</v>
      </c>
      <c r="Q26" s="79">
        <v>10</v>
      </c>
      <c r="R26" s="82">
        <v>0</v>
      </c>
      <c r="S26" s="79">
        <v>0</v>
      </c>
      <c r="T26" s="82">
        <v>32.6</v>
      </c>
      <c r="U26" s="79">
        <v>4</v>
      </c>
      <c r="V26" s="78">
        <f t="shared" si="0"/>
        <v>240.24</v>
      </c>
      <c r="W26" s="77">
        <f t="shared" si="1"/>
        <v>40</v>
      </c>
    </row>
    <row r="27" spans="1:23" s="24" customFormat="1" ht="27.75" customHeight="1" x14ac:dyDescent="0.15">
      <c r="A27" s="54" t="s">
        <v>38</v>
      </c>
      <c r="B27" s="82">
        <v>41.26</v>
      </c>
      <c r="C27" s="79">
        <v>8</v>
      </c>
      <c r="D27" s="82">
        <v>4.58</v>
      </c>
      <c r="E27" s="79">
        <v>1</v>
      </c>
      <c r="F27" s="82">
        <v>8.98</v>
      </c>
      <c r="G27" s="79">
        <v>2</v>
      </c>
      <c r="H27" s="82">
        <v>0</v>
      </c>
      <c r="I27" s="79">
        <v>0</v>
      </c>
      <c r="J27" s="79">
        <v>0</v>
      </c>
      <c r="K27" s="79">
        <v>0</v>
      </c>
      <c r="L27" s="82">
        <v>19.02</v>
      </c>
      <c r="M27" s="79">
        <v>4</v>
      </c>
      <c r="N27" s="82">
        <v>0</v>
      </c>
      <c r="O27" s="79">
        <v>0</v>
      </c>
      <c r="P27" s="82">
        <v>60.5</v>
      </c>
      <c r="Q27" s="79">
        <v>9</v>
      </c>
      <c r="R27" s="82">
        <v>0</v>
      </c>
      <c r="S27" s="79">
        <v>0</v>
      </c>
      <c r="T27" s="82">
        <v>0</v>
      </c>
      <c r="U27" s="79">
        <v>0</v>
      </c>
      <c r="V27" s="78">
        <f t="shared" si="0"/>
        <v>134.34</v>
      </c>
      <c r="W27" s="77">
        <f t="shared" si="1"/>
        <v>24</v>
      </c>
    </row>
    <row r="28" spans="1:23" s="24" customFormat="1" ht="27.75" customHeight="1" x14ac:dyDescent="0.15">
      <c r="A28" s="54" t="s">
        <v>39</v>
      </c>
      <c r="B28" s="82">
        <v>43.04</v>
      </c>
      <c r="C28" s="79">
        <v>9</v>
      </c>
      <c r="D28" s="82">
        <v>0</v>
      </c>
      <c r="E28" s="79">
        <v>0</v>
      </c>
      <c r="F28" s="82">
        <v>3.66</v>
      </c>
      <c r="G28" s="79">
        <v>1</v>
      </c>
      <c r="H28" s="82">
        <v>0</v>
      </c>
      <c r="I28" s="79">
        <v>0</v>
      </c>
      <c r="J28" s="79">
        <v>0</v>
      </c>
      <c r="K28" s="79">
        <v>0</v>
      </c>
      <c r="L28" s="82">
        <v>10.84</v>
      </c>
      <c r="M28" s="79">
        <v>2</v>
      </c>
      <c r="N28" s="82">
        <v>0</v>
      </c>
      <c r="O28" s="79">
        <v>0</v>
      </c>
      <c r="P28" s="82">
        <v>49.92</v>
      </c>
      <c r="Q28" s="79">
        <v>8</v>
      </c>
      <c r="R28" s="82">
        <v>9.1199999999999992</v>
      </c>
      <c r="S28" s="79">
        <v>1</v>
      </c>
      <c r="T28" s="82">
        <v>0</v>
      </c>
      <c r="U28" s="79">
        <v>0</v>
      </c>
      <c r="V28" s="78">
        <f t="shared" si="0"/>
        <v>116.58</v>
      </c>
      <c r="W28" s="77">
        <f t="shared" si="1"/>
        <v>21</v>
      </c>
    </row>
    <row r="29" spans="1:23" s="24" customFormat="1" ht="27.75" customHeight="1" x14ac:dyDescent="0.15">
      <c r="A29" s="54" t="s">
        <v>40</v>
      </c>
      <c r="B29" s="82">
        <v>38.96</v>
      </c>
      <c r="C29" s="79">
        <v>8</v>
      </c>
      <c r="D29" s="82">
        <v>0</v>
      </c>
      <c r="E29" s="79">
        <v>0</v>
      </c>
      <c r="F29" s="82">
        <v>8.8800000000000008</v>
      </c>
      <c r="G29" s="79">
        <v>2</v>
      </c>
      <c r="H29" s="82">
        <v>0</v>
      </c>
      <c r="I29" s="79">
        <v>0</v>
      </c>
      <c r="J29" s="79">
        <v>0</v>
      </c>
      <c r="K29" s="79">
        <v>0</v>
      </c>
      <c r="L29" s="82">
        <v>14.04</v>
      </c>
      <c r="M29" s="79">
        <v>3</v>
      </c>
      <c r="N29" s="82">
        <v>0</v>
      </c>
      <c r="O29" s="79">
        <v>0</v>
      </c>
      <c r="P29" s="82">
        <v>49.58</v>
      </c>
      <c r="Q29" s="79">
        <v>7</v>
      </c>
      <c r="R29" s="82">
        <v>0</v>
      </c>
      <c r="S29" s="79">
        <v>0</v>
      </c>
      <c r="T29" s="82">
        <v>0</v>
      </c>
      <c r="U29" s="79">
        <v>0</v>
      </c>
      <c r="V29" s="78">
        <f t="shared" si="0"/>
        <v>111.46</v>
      </c>
      <c r="W29" s="77">
        <f t="shared" si="1"/>
        <v>20</v>
      </c>
    </row>
    <row r="30" spans="1:23" s="24" customFormat="1" ht="27.75" customHeight="1" x14ac:dyDescent="0.15">
      <c r="A30" s="54" t="s">
        <v>41</v>
      </c>
      <c r="B30" s="82">
        <v>67.16</v>
      </c>
      <c r="C30" s="79">
        <v>13</v>
      </c>
      <c r="D30" s="82">
        <v>0</v>
      </c>
      <c r="E30" s="79">
        <v>0</v>
      </c>
      <c r="F30" s="82">
        <v>11.56</v>
      </c>
      <c r="G30" s="79">
        <v>2</v>
      </c>
      <c r="H30" s="82">
        <v>0</v>
      </c>
      <c r="I30" s="79">
        <v>0</v>
      </c>
      <c r="J30" s="79">
        <v>0</v>
      </c>
      <c r="K30" s="79">
        <v>0</v>
      </c>
      <c r="L30" s="82">
        <v>19.399999999999999</v>
      </c>
      <c r="M30" s="79">
        <v>4</v>
      </c>
      <c r="N30" s="82">
        <v>0</v>
      </c>
      <c r="O30" s="79">
        <v>0</v>
      </c>
      <c r="P30" s="82">
        <v>49.02</v>
      </c>
      <c r="Q30" s="79">
        <v>7</v>
      </c>
      <c r="R30" s="82">
        <v>0</v>
      </c>
      <c r="S30" s="79">
        <v>0</v>
      </c>
      <c r="T30" s="82">
        <v>0</v>
      </c>
      <c r="U30" s="79">
        <v>0</v>
      </c>
      <c r="V30" s="78">
        <f t="shared" si="0"/>
        <v>147.13999999999999</v>
      </c>
      <c r="W30" s="77">
        <f t="shared" si="1"/>
        <v>26</v>
      </c>
    </row>
    <row r="31" spans="1:23" s="24" customFormat="1" ht="27.75" customHeight="1" x14ac:dyDescent="0.15">
      <c r="A31" s="54" t="s">
        <v>42</v>
      </c>
      <c r="B31" s="82">
        <v>51.3</v>
      </c>
      <c r="C31" s="79">
        <v>12</v>
      </c>
      <c r="D31" s="82">
        <v>0</v>
      </c>
      <c r="E31" s="79">
        <v>0</v>
      </c>
      <c r="F31" s="82">
        <v>18.5</v>
      </c>
      <c r="G31" s="79">
        <v>3</v>
      </c>
      <c r="H31" s="82">
        <v>0</v>
      </c>
      <c r="I31" s="79">
        <v>0</v>
      </c>
      <c r="J31" s="79">
        <v>0</v>
      </c>
      <c r="K31" s="79">
        <v>0</v>
      </c>
      <c r="L31" s="82">
        <v>20.86</v>
      </c>
      <c r="M31" s="79">
        <v>4</v>
      </c>
      <c r="N31" s="82">
        <v>0</v>
      </c>
      <c r="O31" s="79">
        <v>0</v>
      </c>
      <c r="P31" s="82">
        <v>61.84</v>
      </c>
      <c r="Q31" s="79">
        <v>9</v>
      </c>
      <c r="R31" s="82">
        <v>0</v>
      </c>
      <c r="S31" s="79">
        <v>0</v>
      </c>
      <c r="T31" s="82">
        <v>0</v>
      </c>
      <c r="U31" s="79">
        <v>0</v>
      </c>
      <c r="V31" s="78">
        <f t="shared" si="0"/>
        <v>152.5</v>
      </c>
      <c r="W31" s="77">
        <f t="shared" si="1"/>
        <v>28</v>
      </c>
    </row>
    <row r="32" spans="1:23" s="24" customFormat="1" ht="27.75" customHeight="1" x14ac:dyDescent="0.15">
      <c r="A32" s="54" t="s">
        <v>43</v>
      </c>
      <c r="B32" s="82">
        <v>47.74</v>
      </c>
      <c r="C32" s="79">
        <v>10</v>
      </c>
      <c r="D32" s="82">
        <v>0</v>
      </c>
      <c r="E32" s="79">
        <v>0</v>
      </c>
      <c r="F32" s="82">
        <v>13.54</v>
      </c>
      <c r="G32" s="79">
        <v>3</v>
      </c>
      <c r="H32" s="82">
        <v>0</v>
      </c>
      <c r="I32" s="79">
        <v>0</v>
      </c>
      <c r="J32" s="79">
        <v>0</v>
      </c>
      <c r="K32" s="79">
        <v>0</v>
      </c>
      <c r="L32" s="82">
        <v>18.12</v>
      </c>
      <c r="M32" s="79">
        <v>4</v>
      </c>
      <c r="N32" s="82">
        <v>0</v>
      </c>
      <c r="O32" s="79">
        <v>0</v>
      </c>
      <c r="P32" s="82">
        <v>62.3</v>
      </c>
      <c r="Q32" s="79">
        <v>9</v>
      </c>
      <c r="R32" s="82">
        <v>0</v>
      </c>
      <c r="S32" s="79">
        <v>0</v>
      </c>
      <c r="T32" s="82">
        <v>0</v>
      </c>
      <c r="U32" s="79">
        <v>0</v>
      </c>
      <c r="V32" s="78">
        <f t="shared" si="0"/>
        <v>141.69999999999999</v>
      </c>
      <c r="W32" s="77">
        <f t="shared" si="1"/>
        <v>26</v>
      </c>
    </row>
    <row r="33" spans="1:27" s="24" customFormat="1" ht="27.75" customHeight="1" x14ac:dyDescent="0.15">
      <c r="A33" s="54" t="s">
        <v>44</v>
      </c>
      <c r="B33" s="82">
        <v>54.98</v>
      </c>
      <c r="C33" s="79">
        <v>11</v>
      </c>
      <c r="D33" s="82">
        <v>0</v>
      </c>
      <c r="E33" s="79">
        <v>0</v>
      </c>
      <c r="F33" s="82">
        <v>16.68</v>
      </c>
      <c r="G33" s="79">
        <v>3</v>
      </c>
      <c r="H33" s="82">
        <v>0</v>
      </c>
      <c r="I33" s="79">
        <v>0</v>
      </c>
      <c r="J33" s="79">
        <v>0</v>
      </c>
      <c r="K33" s="79">
        <v>0</v>
      </c>
      <c r="L33" s="82">
        <v>20.079999999999998</v>
      </c>
      <c r="M33" s="79">
        <v>4</v>
      </c>
      <c r="N33" s="82">
        <v>0</v>
      </c>
      <c r="O33" s="79">
        <v>0</v>
      </c>
      <c r="P33" s="82">
        <v>51.48</v>
      </c>
      <c r="Q33" s="79">
        <v>8</v>
      </c>
      <c r="R33" s="82">
        <v>0</v>
      </c>
      <c r="S33" s="79">
        <v>0</v>
      </c>
      <c r="T33" s="82">
        <v>0</v>
      </c>
      <c r="U33" s="79">
        <v>0</v>
      </c>
      <c r="V33" s="78">
        <f t="shared" si="0"/>
        <v>143.22</v>
      </c>
      <c r="W33" s="77">
        <f t="shared" si="1"/>
        <v>26</v>
      </c>
    </row>
    <row r="34" spans="1:27" s="24" customFormat="1" ht="27.75" customHeight="1" x14ac:dyDescent="0.15">
      <c r="A34" s="54" t="s">
        <v>45</v>
      </c>
      <c r="B34" s="82">
        <v>31.18</v>
      </c>
      <c r="C34" s="79">
        <v>7</v>
      </c>
      <c r="D34" s="82">
        <v>0</v>
      </c>
      <c r="E34" s="79">
        <v>0</v>
      </c>
      <c r="F34" s="82">
        <v>9.8000000000000007</v>
      </c>
      <c r="G34" s="79">
        <v>2</v>
      </c>
      <c r="H34" s="82">
        <v>0</v>
      </c>
      <c r="I34" s="79">
        <v>0</v>
      </c>
      <c r="J34" s="79">
        <v>0</v>
      </c>
      <c r="K34" s="79">
        <v>0</v>
      </c>
      <c r="L34" s="82">
        <v>19.62</v>
      </c>
      <c r="M34" s="79">
        <v>4</v>
      </c>
      <c r="N34" s="82">
        <v>0</v>
      </c>
      <c r="O34" s="79">
        <v>0</v>
      </c>
      <c r="P34" s="82">
        <v>60.94</v>
      </c>
      <c r="Q34" s="79">
        <v>8</v>
      </c>
      <c r="R34" s="82">
        <v>0</v>
      </c>
      <c r="S34" s="79">
        <v>0</v>
      </c>
      <c r="T34" s="82">
        <v>0</v>
      </c>
      <c r="U34" s="79">
        <v>0</v>
      </c>
      <c r="V34" s="78">
        <f t="shared" si="0"/>
        <v>121.54</v>
      </c>
      <c r="W34" s="77">
        <f t="shared" si="1"/>
        <v>21</v>
      </c>
    </row>
    <row r="35" spans="1:27" s="24" customFormat="1" ht="25.5" customHeight="1" x14ac:dyDescent="0.15">
      <c r="A35" s="54" t="s">
        <v>46</v>
      </c>
      <c r="B35" s="82">
        <v>57.58</v>
      </c>
      <c r="C35" s="79">
        <v>11</v>
      </c>
      <c r="D35" s="82">
        <v>0</v>
      </c>
      <c r="E35" s="79">
        <v>0</v>
      </c>
      <c r="F35" s="82">
        <v>4</v>
      </c>
      <c r="G35" s="79">
        <v>1</v>
      </c>
      <c r="H35" s="82">
        <v>0</v>
      </c>
      <c r="I35" s="79">
        <v>0</v>
      </c>
      <c r="J35" s="79">
        <v>0</v>
      </c>
      <c r="K35" s="79">
        <v>0</v>
      </c>
      <c r="L35" s="82">
        <v>10.42</v>
      </c>
      <c r="M35" s="79">
        <v>2</v>
      </c>
      <c r="N35" s="82">
        <v>0</v>
      </c>
      <c r="O35" s="79">
        <v>0</v>
      </c>
      <c r="P35" s="82">
        <v>43.98</v>
      </c>
      <c r="Q35" s="79">
        <v>7</v>
      </c>
      <c r="R35" s="82">
        <v>8.36</v>
      </c>
      <c r="S35" s="79">
        <v>1</v>
      </c>
      <c r="T35" s="82">
        <v>0</v>
      </c>
      <c r="U35" s="79">
        <v>0</v>
      </c>
      <c r="V35" s="78">
        <f t="shared" si="0"/>
        <v>124.34</v>
      </c>
      <c r="W35" s="77">
        <f t="shared" si="1"/>
        <v>22</v>
      </c>
    </row>
    <row r="36" spans="1:27" s="24" customFormat="1" ht="56.25" customHeight="1" x14ac:dyDescent="0.15">
      <c r="A36" s="55" t="s">
        <v>13</v>
      </c>
      <c r="B36" s="82">
        <f t="shared" ref="B36:U36" si="2">SUM(B5:B35)</f>
        <v>1481.74</v>
      </c>
      <c r="C36" s="79">
        <f t="shared" si="2"/>
        <v>311</v>
      </c>
      <c r="D36" s="82">
        <f t="shared" si="2"/>
        <v>66.06</v>
      </c>
      <c r="E36" s="79">
        <f t="shared" si="2"/>
        <v>13</v>
      </c>
      <c r="F36" s="82">
        <f t="shared" si="2"/>
        <v>347.88</v>
      </c>
      <c r="G36" s="79">
        <f t="shared" si="2"/>
        <v>66</v>
      </c>
      <c r="H36" s="82">
        <f t="shared" si="2"/>
        <v>36.76</v>
      </c>
      <c r="I36" s="79">
        <f t="shared" si="2"/>
        <v>5</v>
      </c>
      <c r="J36" s="82">
        <f t="shared" si="2"/>
        <v>0</v>
      </c>
      <c r="K36" s="79">
        <f t="shared" si="2"/>
        <v>0</v>
      </c>
      <c r="L36" s="82">
        <f t="shared" si="2"/>
        <v>494.96</v>
      </c>
      <c r="M36" s="79">
        <f t="shared" si="2"/>
        <v>108</v>
      </c>
      <c r="N36" s="82">
        <f t="shared" si="2"/>
        <v>59.42</v>
      </c>
      <c r="O36" s="79">
        <f t="shared" si="2"/>
        <v>8</v>
      </c>
      <c r="P36" s="82">
        <f t="shared" si="2"/>
        <v>1683.96</v>
      </c>
      <c r="Q36" s="79">
        <f t="shared" si="2"/>
        <v>255</v>
      </c>
      <c r="R36" s="82">
        <f t="shared" si="2"/>
        <v>63.48</v>
      </c>
      <c r="S36" s="79">
        <f t="shared" si="2"/>
        <v>9</v>
      </c>
      <c r="T36" s="82">
        <f t="shared" si="2"/>
        <v>117.7</v>
      </c>
      <c r="U36" s="79">
        <f t="shared" si="2"/>
        <v>14</v>
      </c>
      <c r="V36" s="78">
        <f>B36+D36+F36+H36+L36+N36+P36+R36+T36</f>
        <v>4351.9599999999991</v>
      </c>
      <c r="W36" s="77">
        <f t="shared" si="1"/>
        <v>789</v>
      </c>
      <c r="Y36" s="46"/>
      <c r="AA36" s="46"/>
    </row>
    <row r="37" spans="1:27" s="81" customFormat="1" ht="9.75" customHeight="1" x14ac:dyDescent="0.25">
      <c r="A37" s="83"/>
      <c r="B37" s="84"/>
      <c r="C37" s="47"/>
      <c r="D37" s="47"/>
      <c r="E37" s="47"/>
      <c r="F37" s="47"/>
      <c r="G37" s="47"/>
      <c r="H37" s="47"/>
      <c r="I37" s="47"/>
      <c r="J37" s="47"/>
      <c r="K37" s="47"/>
      <c r="L37" s="84"/>
      <c r="M37" s="84"/>
      <c r="N37" s="84"/>
      <c r="O37" s="84"/>
      <c r="P37" s="84"/>
      <c r="Q37" s="84"/>
      <c r="R37" s="84"/>
      <c r="S37" s="84"/>
      <c r="T37" s="85"/>
      <c r="U37" s="85"/>
      <c r="V37" s="85"/>
      <c r="W37" s="85"/>
    </row>
    <row r="38" spans="1:27" s="25" customFormat="1" ht="33.75" customHeight="1" x14ac:dyDescent="0.25">
      <c r="A38" s="60" t="s">
        <v>47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Q38" s="62"/>
      <c r="R38" s="62"/>
      <c r="S38" s="62"/>
      <c r="W38" s="68"/>
      <c r="Y38" s="49"/>
    </row>
    <row r="40" spans="1:27" x14ac:dyDescent="0.15">
      <c r="A40" s="94"/>
      <c r="B40" s="94"/>
      <c r="C40" s="21"/>
      <c r="D40" s="21"/>
      <c r="E40" s="21"/>
      <c r="F40" s="21"/>
      <c r="G40" s="21"/>
      <c r="H40" s="21"/>
      <c r="I40" s="21"/>
      <c r="J40" s="21"/>
      <c r="K40" s="21"/>
      <c r="T40" s="43"/>
      <c r="U40" s="43"/>
      <c r="V40" s="43"/>
      <c r="Y40" s="43"/>
    </row>
  </sheetData>
  <mergeCells count="15">
    <mergeCell ref="A40:B40"/>
    <mergeCell ref="A3:A4"/>
    <mergeCell ref="A1:W1"/>
    <mergeCell ref="B2:W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honeticPr fontId="19" type="noConversion"/>
  <pageMargins left="0.47" right="0.22" top="0.26" bottom="0.23" header="0.37" footer="0.2"/>
  <pageSetup paperSize="9" scale="49" orientation="landscape"/>
  <headerFooter scaleWithDoc="0"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1"/>
  </sheetPr>
  <dimension ref="A1:K41"/>
  <sheetViews>
    <sheetView topLeftCell="A16" workbookViewId="0">
      <selection activeCell="B26" sqref="B26:C36"/>
    </sheetView>
  </sheetViews>
  <sheetFormatPr defaultColWidth="9" defaultRowHeight="14.25" x14ac:dyDescent="0.15"/>
  <cols>
    <col min="1" max="1" width="6.125" style="1" customWidth="1"/>
    <col min="2" max="2" width="33.875" style="1" customWidth="1"/>
    <col min="3" max="3" width="35.5" style="1" customWidth="1"/>
    <col min="4" max="4" width="10.625" style="1" hidden="1" customWidth="1"/>
    <col min="5" max="5" width="6.25" style="1" hidden="1" customWidth="1"/>
    <col min="6" max="6" width="11.625" style="1" hidden="1" customWidth="1"/>
    <col min="7" max="7" width="6.25" style="1" hidden="1" customWidth="1"/>
    <col min="8" max="8" width="10.5" style="1" hidden="1" customWidth="1"/>
    <col min="9" max="9" width="6.25" style="1" hidden="1" customWidth="1"/>
    <col min="10" max="10" width="14.375" style="1" hidden="1" customWidth="1"/>
    <col min="11" max="11" width="13.125" style="1" hidden="1" customWidth="1"/>
    <col min="12" max="16384" width="9" style="1"/>
  </cols>
  <sheetData>
    <row r="1" spans="1:11" ht="25.5" customHeight="1" x14ac:dyDescent="0.1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2" customFormat="1" ht="17.25" customHeight="1" x14ac:dyDescent="0.15">
      <c r="A2" s="4">
        <v>1000</v>
      </c>
      <c r="B2" s="98" t="s">
        <v>48</v>
      </c>
      <c r="C2" s="98"/>
      <c r="D2" s="5"/>
      <c r="E2" s="5"/>
      <c r="F2" s="6"/>
      <c r="G2" s="6"/>
      <c r="H2" s="6"/>
      <c r="I2" s="6"/>
    </row>
    <row r="3" spans="1:11" s="2" customFormat="1" ht="24" customHeight="1" x14ac:dyDescent="0.15">
      <c r="A3" s="102" t="s">
        <v>2</v>
      </c>
      <c r="B3" s="99" t="s">
        <v>82</v>
      </c>
      <c r="C3" s="99"/>
      <c r="D3" s="99"/>
      <c r="E3" s="99"/>
      <c r="F3" s="99"/>
      <c r="G3" s="99"/>
      <c r="H3" s="99"/>
      <c r="I3" s="99"/>
      <c r="J3" s="99"/>
      <c r="K3" s="99"/>
    </row>
    <row r="4" spans="1:11" s="2" customFormat="1" ht="24" customHeight="1" x14ac:dyDescent="0.15">
      <c r="A4" s="103"/>
      <c r="B4" s="100"/>
      <c r="C4" s="101"/>
      <c r="D4" s="100"/>
      <c r="E4" s="101"/>
      <c r="F4" s="100"/>
      <c r="G4" s="101"/>
      <c r="H4" s="8"/>
      <c r="I4" s="9"/>
      <c r="J4" s="100" t="s">
        <v>13</v>
      </c>
      <c r="K4" s="101"/>
    </row>
    <row r="5" spans="1:11" s="2" customFormat="1" ht="24" customHeight="1" x14ac:dyDescent="0.15">
      <c r="A5" s="104"/>
      <c r="B5" s="7" t="s">
        <v>14</v>
      </c>
      <c r="C5" s="7" t="s">
        <v>15</v>
      </c>
      <c r="D5" s="7" t="s">
        <v>14</v>
      </c>
      <c r="E5" s="7" t="s">
        <v>15</v>
      </c>
      <c r="F5" s="7" t="s">
        <v>14</v>
      </c>
      <c r="G5" s="7" t="s">
        <v>15</v>
      </c>
      <c r="H5" s="7" t="s">
        <v>14</v>
      </c>
      <c r="I5" s="7" t="s">
        <v>15</v>
      </c>
      <c r="J5" s="7" t="s">
        <v>14</v>
      </c>
      <c r="K5" s="7" t="s">
        <v>15</v>
      </c>
    </row>
    <row r="6" spans="1:11" s="3" customFormat="1" ht="20.25" customHeight="1" x14ac:dyDescent="0.15">
      <c r="A6" s="11" t="s">
        <v>16</v>
      </c>
      <c r="B6" s="12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4">
        <v>0</v>
      </c>
      <c r="K6" s="23">
        <v>0</v>
      </c>
    </row>
    <row r="7" spans="1:11" s="3" customFormat="1" ht="20.25" customHeight="1" x14ac:dyDescent="0.15">
      <c r="A7" s="11" t="s">
        <v>17</v>
      </c>
      <c r="B7" s="12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4">
        <v>0</v>
      </c>
      <c r="K7" s="23">
        <v>0</v>
      </c>
    </row>
    <row r="8" spans="1:11" s="3" customFormat="1" ht="20.25" customHeight="1" x14ac:dyDescent="0.15">
      <c r="A8" s="11" t="s">
        <v>18</v>
      </c>
      <c r="B8" s="12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4">
        <v>0</v>
      </c>
      <c r="K8" s="23">
        <v>0</v>
      </c>
    </row>
    <row r="9" spans="1:11" s="3" customFormat="1" ht="20.25" customHeight="1" x14ac:dyDescent="0.15">
      <c r="A9" s="11" t="s">
        <v>19</v>
      </c>
      <c r="B9" s="12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4">
        <v>0</v>
      </c>
      <c r="K9" s="23">
        <v>0</v>
      </c>
    </row>
    <row r="10" spans="1:11" s="3" customFormat="1" ht="20.25" customHeight="1" x14ac:dyDescent="0.15">
      <c r="A10" s="11" t="s">
        <v>20</v>
      </c>
      <c r="B10" s="12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4">
        <v>0</v>
      </c>
      <c r="K10" s="23">
        <v>0</v>
      </c>
    </row>
    <row r="11" spans="1:11" s="3" customFormat="1" ht="20.25" customHeight="1" x14ac:dyDescent="0.15">
      <c r="A11" s="11" t="s">
        <v>21</v>
      </c>
      <c r="B11" s="12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4">
        <v>0</v>
      </c>
      <c r="K11" s="23">
        <v>0</v>
      </c>
    </row>
    <row r="12" spans="1:11" s="3" customFormat="1" ht="20.25" customHeight="1" x14ac:dyDescent="0.15">
      <c r="A12" s="11" t="s">
        <v>22</v>
      </c>
      <c r="B12" s="12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4">
        <v>0</v>
      </c>
      <c r="K12" s="23">
        <v>0</v>
      </c>
    </row>
    <row r="13" spans="1:11" s="3" customFormat="1" ht="20.25" customHeight="1" x14ac:dyDescent="0.15">
      <c r="A13" s="11" t="s">
        <v>23</v>
      </c>
      <c r="B13" s="12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4">
        <v>0</v>
      </c>
      <c r="K13" s="23">
        <v>0</v>
      </c>
    </row>
    <row r="14" spans="1:11" s="3" customFormat="1" ht="20.25" customHeight="1" x14ac:dyDescent="0.15">
      <c r="A14" s="11" t="s">
        <v>24</v>
      </c>
      <c r="B14" s="12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4">
        <v>5.8</v>
      </c>
      <c r="K14" s="23">
        <v>1</v>
      </c>
    </row>
    <row r="15" spans="1:11" s="3" customFormat="1" ht="20.25" customHeight="1" x14ac:dyDescent="0.15">
      <c r="A15" s="11" t="s">
        <v>25</v>
      </c>
      <c r="B15" s="12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4">
        <v>0</v>
      </c>
      <c r="K15" s="23">
        <v>0</v>
      </c>
    </row>
    <row r="16" spans="1:11" s="3" customFormat="1" ht="20.25" customHeight="1" x14ac:dyDescent="0.15">
      <c r="A16" s="11" t="s">
        <v>26</v>
      </c>
      <c r="B16" s="12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4">
        <v>0</v>
      </c>
      <c r="K16" s="23">
        <v>0</v>
      </c>
    </row>
    <row r="17" spans="1:11" s="3" customFormat="1" ht="20.25" customHeight="1" x14ac:dyDescent="0.15">
      <c r="A17" s="11" t="s">
        <v>27</v>
      </c>
      <c r="B17" s="12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4">
        <v>0</v>
      </c>
      <c r="K17" s="23">
        <v>0</v>
      </c>
    </row>
    <row r="18" spans="1:11" s="3" customFormat="1" ht="20.25" customHeight="1" x14ac:dyDescent="0.15">
      <c r="A18" s="11" t="s">
        <v>28</v>
      </c>
      <c r="B18" s="12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4">
        <v>0</v>
      </c>
      <c r="K18" s="23">
        <v>0</v>
      </c>
    </row>
    <row r="19" spans="1:11" s="3" customFormat="1" ht="20.25" customHeight="1" x14ac:dyDescent="0.15">
      <c r="A19" s="11" t="s">
        <v>29</v>
      </c>
      <c r="B19" s="12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4">
        <v>0</v>
      </c>
      <c r="K19" s="23">
        <v>0</v>
      </c>
    </row>
    <row r="20" spans="1:11" s="3" customFormat="1" ht="20.25" customHeight="1" x14ac:dyDescent="0.15">
      <c r="A20" s="11" t="s">
        <v>30</v>
      </c>
      <c r="B20" s="12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4">
        <v>0</v>
      </c>
      <c r="K20" s="23">
        <v>0</v>
      </c>
    </row>
    <row r="21" spans="1:11" s="3" customFormat="1" ht="20.25" customHeight="1" x14ac:dyDescent="0.15">
      <c r="A21" s="11" t="s">
        <v>31</v>
      </c>
      <c r="B21" s="12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4">
        <v>0</v>
      </c>
      <c r="K21" s="23">
        <v>0</v>
      </c>
    </row>
    <row r="22" spans="1:11" s="3" customFormat="1" ht="20.25" customHeight="1" x14ac:dyDescent="0.15">
      <c r="A22" s="11" t="s">
        <v>32</v>
      </c>
      <c r="B22" s="12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4">
        <v>0</v>
      </c>
      <c r="K22" s="23">
        <v>0</v>
      </c>
    </row>
    <row r="23" spans="1:11" s="3" customFormat="1" ht="20.25" customHeight="1" x14ac:dyDescent="0.15">
      <c r="A23" s="11" t="s">
        <v>33</v>
      </c>
      <c r="B23" s="12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4">
        <v>0</v>
      </c>
      <c r="K23" s="23">
        <v>0</v>
      </c>
    </row>
    <row r="24" spans="1:11" s="3" customFormat="1" ht="20.25" customHeight="1" x14ac:dyDescent="0.15">
      <c r="A24" s="11" t="s">
        <v>34</v>
      </c>
      <c r="B24" s="12">
        <f>8.64+10.4</f>
        <v>19.04</v>
      </c>
      <c r="C24" s="13">
        <v>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4">
        <v>0</v>
      </c>
      <c r="K24" s="23">
        <v>0</v>
      </c>
    </row>
    <row r="25" spans="1:11" s="3" customFormat="1" ht="20.25" customHeight="1" x14ac:dyDescent="0.15">
      <c r="A25" s="11" t="s">
        <v>35</v>
      </c>
      <c r="B25" s="12">
        <f>10.26+7.92+9.94+8.72</f>
        <v>36.840000000000003</v>
      </c>
      <c r="C25" s="13">
        <v>4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4">
        <v>0</v>
      </c>
      <c r="K25" s="23">
        <v>0</v>
      </c>
    </row>
    <row r="26" spans="1:11" s="3" customFormat="1" ht="20.25" customHeight="1" x14ac:dyDescent="0.15">
      <c r="A26" s="11" t="s">
        <v>36</v>
      </c>
      <c r="B26" s="12">
        <f>3.98+8.1+10.16+6.98</f>
        <v>29.22</v>
      </c>
      <c r="C26" s="13">
        <v>4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>
        <v>0</v>
      </c>
      <c r="K26" s="23">
        <v>0</v>
      </c>
    </row>
    <row r="27" spans="1:11" s="3" customFormat="1" ht="20.25" customHeight="1" x14ac:dyDescent="0.15">
      <c r="A27" s="11" t="s">
        <v>37</v>
      </c>
      <c r="B27" s="12">
        <f>7.5+8.36+8.92+7.82</f>
        <v>32.6</v>
      </c>
      <c r="C27" s="13">
        <v>4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4">
        <v>0</v>
      </c>
      <c r="K27" s="23">
        <v>0</v>
      </c>
    </row>
    <row r="28" spans="1:11" s="3" customFormat="1" ht="20.25" customHeight="1" x14ac:dyDescent="0.15">
      <c r="A28" s="11" t="s">
        <v>38</v>
      </c>
      <c r="B28" s="12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4">
        <v>0</v>
      </c>
      <c r="K28" s="23">
        <v>0</v>
      </c>
    </row>
    <row r="29" spans="1:11" s="3" customFormat="1" ht="20.25" customHeight="1" x14ac:dyDescent="0.15">
      <c r="A29" s="11" t="s">
        <v>39</v>
      </c>
      <c r="B29" s="12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4">
        <v>0</v>
      </c>
      <c r="K29" s="23">
        <v>0</v>
      </c>
    </row>
    <row r="30" spans="1:11" s="3" customFormat="1" ht="20.25" customHeight="1" x14ac:dyDescent="0.15">
      <c r="A30" s="11" t="s">
        <v>40</v>
      </c>
      <c r="B30" s="12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4">
        <v>0</v>
      </c>
      <c r="K30" s="23">
        <v>0</v>
      </c>
    </row>
    <row r="31" spans="1:11" s="3" customFormat="1" ht="20.25" customHeight="1" x14ac:dyDescent="0.15">
      <c r="A31" s="11" t="s">
        <v>41</v>
      </c>
      <c r="B31" s="12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4">
        <v>0</v>
      </c>
      <c r="K31" s="23">
        <v>0</v>
      </c>
    </row>
    <row r="32" spans="1:11" s="3" customFormat="1" ht="20.25" customHeight="1" x14ac:dyDescent="0.15">
      <c r="A32" s="11" t="s">
        <v>42</v>
      </c>
      <c r="B32" s="12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4">
        <v>0</v>
      </c>
      <c r="K32" s="23">
        <v>0</v>
      </c>
    </row>
    <row r="33" spans="1:11" s="3" customFormat="1" ht="20.25" customHeight="1" x14ac:dyDescent="0.15">
      <c r="A33" s="11" t="s">
        <v>43</v>
      </c>
      <c r="B33" s="12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4">
        <v>0</v>
      </c>
      <c r="K33" s="23">
        <v>0</v>
      </c>
    </row>
    <row r="34" spans="1:11" s="3" customFormat="1" ht="20.25" customHeight="1" x14ac:dyDescent="0.15">
      <c r="A34" s="11" t="s">
        <v>44</v>
      </c>
      <c r="B34" s="12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4" t="e">
        <v>#REF!</v>
      </c>
      <c r="K34" s="23">
        <v>0</v>
      </c>
    </row>
    <row r="35" spans="1:11" s="3" customFormat="1" ht="19.5" customHeight="1" x14ac:dyDescent="0.15">
      <c r="A35" s="11" t="s">
        <v>45</v>
      </c>
      <c r="B35" s="12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4">
        <v>0</v>
      </c>
      <c r="K35" s="23">
        <v>0</v>
      </c>
    </row>
    <row r="36" spans="1:11" s="3" customFormat="1" ht="18.75" customHeight="1" x14ac:dyDescent="0.15">
      <c r="A36" s="11" t="s">
        <v>46</v>
      </c>
      <c r="B36" s="12">
        <v>0</v>
      </c>
      <c r="C36" s="13">
        <v>0</v>
      </c>
      <c r="D36" s="13">
        <v>0</v>
      </c>
      <c r="E36" s="13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23">
        <v>0</v>
      </c>
    </row>
    <row r="37" spans="1:11" s="3" customFormat="1" ht="19.5" customHeight="1" x14ac:dyDescent="0.15">
      <c r="A37" s="15" t="s">
        <v>13</v>
      </c>
      <c r="B37" s="12">
        <f>SUM(B6:B36)</f>
        <v>117.7</v>
      </c>
      <c r="C37" s="13">
        <f>SUM(C6:C36)</f>
        <v>14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4" t="e">
        <v>#REF!</v>
      </c>
      <c r="K37" s="14">
        <v>1</v>
      </c>
    </row>
    <row r="38" spans="1:11" ht="20.25" customHeight="1" x14ac:dyDescent="0.15">
      <c r="A38" s="17" t="s">
        <v>53</v>
      </c>
      <c r="B38" s="18"/>
      <c r="C38" s="18"/>
      <c r="D38" s="19"/>
      <c r="E38" s="19"/>
      <c r="F38" s="19"/>
      <c r="G38" s="20" t="s">
        <v>54</v>
      </c>
      <c r="H38" s="19"/>
      <c r="I38" s="19"/>
      <c r="K38" s="18" t="s">
        <v>2</v>
      </c>
    </row>
    <row r="39" spans="1:11" x14ac:dyDescent="0.15">
      <c r="A39" s="94"/>
      <c r="B39" s="94"/>
      <c r="C39" s="21"/>
    </row>
    <row r="40" spans="1:11" x14ac:dyDescent="0.15">
      <c r="F40" s="22"/>
    </row>
    <row r="41" spans="1:11" x14ac:dyDescent="0.15">
      <c r="F41" s="22"/>
    </row>
  </sheetData>
  <mergeCells count="9">
    <mergeCell ref="A39:B39"/>
    <mergeCell ref="A3:A5"/>
    <mergeCell ref="A1:K1"/>
    <mergeCell ref="B2:C2"/>
    <mergeCell ref="B3:K3"/>
    <mergeCell ref="B4:C4"/>
    <mergeCell ref="D4:E4"/>
    <mergeCell ref="F4:G4"/>
    <mergeCell ref="J4:K4"/>
  </mergeCells>
  <phoneticPr fontId="19" type="noConversion"/>
  <pageMargins left="0.79" right="0.16" top="0.19" bottom="0.23" header="0.21" footer="0.2"/>
  <pageSetup paperSize="9" scale="99" orientation="portrait"/>
  <headerFooter scaleWithDoc="0"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M46"/>
  <sheetViews>
    <sheetView workbookViewId="0">
      <pane xSplit="1" ySplit="4" topLeftCell="B23" activePane="bottomRight" state="frozen"/>
      <selection pane="topRight"/>
      <selection pane="bottomLeft"/>
      <selection pane="bottomRight" activeCell="K34" sqref="K34"/>
    </sheetView>
  </sheetViews>
  <sheetFormatPr defaultColWidth="9" defaultRowHeight="14.25" x14ac:dyDescent="0.15"/>
  <cols>
    <col min="1" max="1" width="5.375" style="1" customWidth="1"/>
    <col min="2" max="2" width="18" style="1" customWidth="1"/>
    <col min="3" max="3" width="9" style="1"/>
    <col min="4" max="4" width="14.875" style="1" customWidth="1"/>
    <col min="5" max="5" width="10.25" style="1" customWidth="1"/>
    <col min="6" max="6" width="15.75" style="1" customWidth="1"/>
    <col min="7" max="7" width="9.875" style="1" customWidth="1"/>
    <col min="8" max="8" width="16.125" style="1" customWidth="1"/>
    <col min="9" max="9" width="10.625" style="1" customWidth="1"/>
    <col min="10" max="10" width="9" style="1"/>
    <col min="11" max="11" width="16.125" style="1"/>
    <col min="12" max="12" width="9" style="1"/>
    <col min="13" max="13" width="11.625" style="1"/>
    <col min="14" max="16384" width="9" style="1"/>
  </cols>
  <sheetData>
    <row r="1" spans="1:9" ht="35.25" customHeight="1" x14ac:dyDescent="0.1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s="2" customFormat="1" ht="23.25" customHeight="1" x14ac:dyDescent="0.15">
      <c r="A2" s="4">
        <v>1000</v>
      </c>
      <c r="B2" s="87" t="s">
        <v>48</v>
      </c>
      <c r="C2" s="87"/>
      <c r="D2" s="87"/>
      <c r="E2" s="87"/>
      <c r="F2" s="87"/>
      <c r="G2" s="87"/>
      <c r="H2" s="87"/>
      <c r="I2" s="87"/>
    </row>
    <row r="3" spans="1:9" s="2" customFormat="1" ht="51.75" customHeight="1" x14ac:dyDescent="0.15">
      <c r="A3" s="95" t="s">
        <v>2</v>
      </c>
      <c r="B3" s="88" t="s">
        <v>49</v>
      </c>
      <c r="C3" s="89"/>
      <c r="D3" s="88" t="s">
        <v>50</v>
      </c>
      <c r="E3" s="89"/>
      <c r="F3" s="88" t="s">
        <v>7</v>
      </c>
      <c r="G3" s="89"/>
      <c r="H3" s="92" t="s">
        <v>13</v>
      </c>
      <c r="I3" s="93"/>
    </row>
    <row r="4" spans="1:9" s="2" customFormat="1" ht="29.25" customHeight="1" x14ac:dyDescent="0.15">
      <c r="A4" s="96"/>
      <c r="B4" s="53" t="s">
        <v>14</v>
      </c>
      <c r="C4" s="53" t="s">
        <v>15</v>
      </c>
      <c r="D4" s="53" t="s">
        <v>14</v>
      </c>
      <c r="E4" s="53" t="s">
        <v>15</v>
      </c>
      <c r="F4" s="53" t="s">
        <v>14</v>
      </c>
      <c r="G4" s="53" t="s">
        <v>15</v>
      </c>
      <c r="H4" s="53" t="s">
        <v>14</v>
      </c>
      <c r="I4" s="53" t="s">
        <v>15</v>
      </c>
    </row>
    <row r="5" spans="1:9" s="24" customFormat="1" ht="27" customHeight="1" x14ac:dyDescent="0.15">
      <c r="A5" s="54" t="s">
        <v>16</v>
      </c>
      <c r="B5" s="76">
        <v>0</v>
      </c>
      <c r="C5" s="76">
        <v>0</v>
      </c>
      <c r="D5" s="76">
        <f>5.86+4.56</f>
        <v>10.42</v>
      </c>
      <c r="E5" s="77">
        <v>2</v>
      </c>
      <c r="F5" s="76">
        <v>0</v>
      </c>
      <c r="G5" s="76">
        <v>0</v>
      </c>
      <c r="H5" s="78">
        <f t="shared" ref="H5:H35" si="0">+B5+D5+F5</f>
        <v>10.42</v>
      </c>
      <c r="I5" s="77">
        <f t="shared" ref="I5:I35" si="1">+C5+E5+G5</f>
        <v>2</v>
      </c>
    </row>
    <row r="6" spans="1:9" s="24" customFormat="1" ht="27" customHeight="1" x14ac:dyDescent="0.15">
      <c r="A6" s="54" t="s">
        <v>17</v>
      </c>
      <c r="B6" s="76">
        <v>0</v>
      </c>
      <c r="C6" s="76">
        <v>0</v>
      </c>
      <c r="D6" s="76">
        <f>6.38+5.42</f>
        <v>11.8</v>
      </c>
      <c r="E6" s="77">
        <v>2</v>
      </c>
      <c r="F6" s="76">
        <v>0</v>
      </c>
      <c r="G6" s="76">
        <v>0</v>
      </c>
      <c r="H6" s="78">
        <f t="shared" si="0"/>
        <v>11.8</v>
      </c>
      <c r="I6" s="77">
        <f t="shared" si="1"/>
        <v>2</v>
      </c>
    </row>
    <row r="7" spans="1:9" s="24" customFormat="1" ht="27" customHeight="1" x14ac:dyDescent="0.15">
      <c r="A7" s="54" t="s">
        <v>18</v>
      </c>
      <c r="B7" s="76">
        <v>0</v>
      </c>
      <c r="C7" s="76">
        <v>0</v>
      </c>
      <c r="D7" s="76">
        <f>6.02</f>
        <v>6.02</v>
      </c>
      <c r="E7" s="77">
        <v>1</v>
      </c>
      <c r="F7" s="76">
        <v>0</v>
      </c>
      <c r="G7" s="76">
        <v>0</v>
      </c>
      <c r="H7" s="78">
        <f t="shared" si="0"/>
        <v>6.02</v>
      </c>
      <c r="I7" s="77">
        <f t="shared" si="1"/>
        <v>1</v>
      </c>
    </row>
    <row r="8" spans="1:9" s="24" customFormat="1" ht="27" customHeight="1" x14ac:dyDescent="0.15">
      <c r="A8" s="54" t="s">
        <v>19</v>
      </c>
      <c r="B8" s="76">
        <v>0</v>
      </c>
      <c r="C8" s="76">
        <v>0</v>
      </c>
      <c r="D8" s="76">
        <f>4.46+5.34</f>
        <v>9.8000000000000007</v>
      </c>
      <c r="E8" s="77">
        <v>2</v>
      </c>
      <c r="F8" s="76">
        <v>0</v>
      </c>
      <c r="G8" s="76">
        <v>0</v>
      </c>
      <c r="H8" s="78">
        <f t="shared" si="0"/>
        <v>9.8000000000000007</v>
      </c>
      <c r="I8" s="77">
        <f t="shared" si="1"/>
        <v>2</v>
      </c>
    </row>
    <row r="9" spans="1:9" s="24" customFormat="1" ht="27" customHeight="1" x14ac:dyDescent="0.15">
      <c r="A9" s="54" t="s">
        <v>20</v>
      </c>
      <c r="B9" s="76">
        <v>0</v>
      </c>
      <c r="C9" s="76">
        <v>0</v>
      </c>
      <c r="D9" s="76">
        <f>5.36+5.74</f>
        <v>11.1</v>
      </c>
      <c r="E9" s="77">
        <v>2</v>
      </c>
      <c r="F9" s="76">
        <v>0</v>
      </c>
      <c r="G9" s="76">
        <v>0</v>
      </c>
      <c r="H9" s="78">
        <f t="shared" si="0"/>
        <v>11.1</v>
      </c>
      <c r="I9" s="77">
        <f t="shared" si="1"/>
        <v>2</v>
      </c>
    </row>
    <row r="10" spans="1:9" s="24" customFormat="1" ht="27" customHeight="1" x14ac:dyDescent="0.15">
      <c r="A10" s="54" t="s">
        <v>21</v>
      </c>
      <c r="B10" s="76">
        <v>0</v>
      </c>
      <c r="C10" s="76">
        <v>0</v>
      </c>
      <c r="D10" s="76">
        <f>5.32+6.24</f>
        <v>11.56</v>
      </c>
      <c r="E10" s="77">
        <v>2</v>
      </c>
      <c r="F10" s="76">
        <v>0</v>
      </c>
      <c r="G10" s="76">
        <v>0</v>
      </c>
      <c r="H10" s="78">
        <f t="shared" si="0"/>
        <v>11.56</v>
      </c>
      <c r="I10" s="77">
        <f t="shared" si="1"/>
        <v>2</v>
      </c>
    </row>
    <row r="11" spans="1:9" s="24" customFormat="1" ht="27" customHeight="1" x14ac:dyDescent="0.15">
      <c r="A11" s="54" t="s">
        <v>22</v>
      </c>
      <c r="B11" s="76">
        <v>0</v>
      </c>
      <c r="C11" s="76">
        <v>0</v>
      </c>
      <c r="D11" s="76">
        <f>6.08+5.78</f>
        <v>11.86</v>
      </c>
      <c r="E11" s="77">
        <v>2</v>
      </c>
      <c r="F11" s="76">
        <v>0</v>
      </c>
      <c r="G11" s="76">
        <v>0</v>
      </c>
      <c r="H11" s="78">
        <f t="shared" si="0"/>
        <v>11.86</v>
      </c>
      <c r="I11" s="77">
        <f t="shared" si="1"/>
        <v>2</v>
      </c>
    </row>
    <row r="12" spans="1:9" s="24" customFormat="1" ht="27" customHeight="1" x14ac:dyDescent="0.15">
      <c r="A12" s="54" t="s">
        <v>23</v>
      </c>
      <c r="B12" s="76">
        <v>0</v>
      </c>
      <c r="C12" s="76">
        <v>0</v>
      </c>
      <c r="D12" s="76">
        <f>6.46+6.04</f>
        <v>12.5</v>
      </c>
      <c r="E12" s="77">
        <v>2</v>
      </c>
      <c r="F12" s="76">
        <v>0</v>
      </c>
      <c r="G12" s="76">
        <v>0</v>
      </c>
      <c r="H12" s="78">
        <f t="shared" si="0"/>
        <v>12.5</v>
      </c>
      <c r="I12" s="77">
        <f t="shared" si="1"/>
        <v>2</v>
      </c>
    </row>
    <row r="13" spans="1:9" s="24" customFormat="1" ht="27" customHeight="1" x14ac:dyDescent="0.15">
      <c r="A13" s="54" t="s">
        <v>24</v>
      </c>
      <c r="B13" s="76">
        <v>0</v>
      </c>
      <c r="C13" s="76">
        <v>0</v>
      </c>
      <c r="D13" s="76">
        <f>6.08+5.62</f>
        <v>11.7</v>
      </c>
      <c r="E13" s="77">
        <v>2</v>
      </c>
      <c r="F13" s="76">
        <v>0</v>
      </c>
      <c r="G13" s="76">
        <v>0</v>
      </c>
      <c r="H13" s="78">
        <f t="shared" si="0"/>
        <v>11.7</v>
      </c>
      <c r="I13" s="77">
        <f t="shared" si="1"/>
        <v>2</v>
      </c>
    </row>
    <row r="14" spans="1:9" s="24" customFormat="1" ht="27" customHeight="1" x14ac:dyDescent="0.15">
      <c r="A14" s="54" t="s">
        <v>25</v>
      </c>
      <c r="B14" s="76">
        <v>0</v>
      </c>
      <c r="C14" s="76">
        <v>0</v>
      </c>
      <c r="D14" s="76">
        <v>5.66</v>
      </c>
      <c r="E14" s="77">
        <v>1</v>
      </c>
      <c r="F14" s="76">
        <v>0</v>
      </c>
      <c r="G14" s="76">
        <v>0</v>
      </c>
      <c r="H14" s="78">
        <f t="shared" si="0"/>
        <v>5.66</v>
      </c>
      <c r="I14" s="77">
        <f t="shared" si="1"/>
        <v>1</v>
      </c>
    </row>
    <row r="15" spans="1:9" s="24" customFormat="1" ht="27" customHeight="1" x14ac:dyDescent="0.15">
      <c r="A15" s="54" t="s">
        <v>26</v>
      </c>
      <c r="B15" s="76">
        <v>0</v>
      </c>
      <c r="C15" s="76">
        <v>0</v>
      </c>
      <c r="D15" s="76">
        <f>5.22+6.1</f>
        <v>11.32</v>
      </c>
      <c r="E15" s="77">
        <v>2</v>
      </c>
      <c r="F15" s="76">
        <v>0</v>
      </c>
      <c r="G15" s="76">
        <v>0</v>
      </c>
      <c r="H15" s="78">
        <f t="shared" si="0"/>
        <v>11.32</v>
      </c>
      <c r="I15" s="77">
        <f t="shared" si="1"/>
        <v>2</v>
      </c>
    </row>
    <row r="16" spans="1:9" s="24" customFormat="1" ht="27" customHeight="1" x14ac:dyDescent="0.15">
      <c r="A16" s="54" t="s">
        <v>27</v>
      </c>
      <c r="B16" s="76">
        <v>0</v>
      </c>
      <c r="C16" s="76">
        <v>0</v>
      </c>
      <c r="D16" s="76">
        <f>5.08+6.48</f>
        <v>11.56</v>
      </c>
      <c r="E16" s="77">
        <v>2</v>
      </c>
      <c r="F16" s="76">
        <v>0</v>
      </c>
      <c r="G16" s="76">
        <v>0</v>
      </c>
      <c r="H16" s="78">
        <f t="shared" si="0"/>
        <v>11.56</v>
      </c>
      <c r="I16" s="77">
        <f t="shared" si="1"/>
        <v>2</v>
      </c>
    </row>
    <row r="17" spans="1:9" s="24" customFormat="1" ht="27" customHeight="1" x14ac:dyDescent="0.15">
      <c r="A17" s="54" t="s">
        <v>28</v>
      </c>
      <c r="B17" s="76">
        <v>0</v>
      </c>
      <c r="C17" s="76">
        <v>0</v>
      </c>
      <c r="D17" s="76">
        <f>6.22+6.32+4.5</f>
        <v>17.04</v>
      </c>
      <c r="E17" s="77">
        <v>3</v>
      </c>
      <c r="F17" s="76">
        <v>0</v>
      </c>
      <c r="G17" s="76">
        <v>0</v>
      </c>
      <c r="H17" s="78">
        <f t="shared" si="0"/>
        <v>17.04</v>
      </c>
      <c r="I17" s="77">
        <f t="shared" si="1"/>
        <v>3</v>
      </c>
    </row>
    <row r="18" spans="1:9" s="24" customFormat="1" ht="27" customHeight="1" x14ac:dyDescent="0.15">
      <c r="A18" s="54" t="s">
        <v>29</v>
      </c>
      <c r="B18" s="76">
        <v>0</v>
      </c>
      <c r="C18" s="76">
        <v>0</v>
      </c>
      <c r="D18" s="76">
        <f>4.12+6.2+2.32</f>
        <v>12.64</v>
      </c>
      <c r="E18" s="77">
        <v>3</v>
      </c>
      <c r="F18" s="76">
        <v>0</v>
      </c>
      <c r="G18" s="76">
        <v>0</v>
      </c>
      <c r="H18" s="78">
        <f t="shared" si="0"/>
        <v>12.64</v>
      </c>
      <c r="I18" s="77">
        <f t="shared" si="1"/>
        <v>3</v>
      </c>
    </row>
    <row r="19" spans="1:9" s="24" customFormat="1" ht="27" customHeight="1" x14ac:dyDescent="0.15">
      <c r="A19" s="54" t="s">
        <v>30</v>
      </c>
      <c r="B19" s="76">
        <v>0</v>
      </c>
      <c r="C19" s="76">
        <v>0</v>
      </c>
      <c r="D19" s="76">
        <f>5.74+4.44+4.96</f>
        <v>15.14</v>
      </c>
      <c r="E19" s="77">
        <v>3</v>
      </c>
      <c r="F19" s="76">
        <v>0</v>
      </c>
      <c r="G19" s="76">
        <v>0</v>
      </c>
      <c r="H19" s="78">
        <f t="shared" si="0"/>
        <v>15.14</v>
      </c>
      <c r="I19" s="77">
        <f t="shared" si="1"/>
        <v>3</v>
      </c>
    </row>
    <row r="20" spans="1:9" s="24" customFormat="1" ht="27" customHeight="1" x14ac:dyDescent="0.15">
      <c r="A20" s="54" t="s">
        <v>31</v>
      </c>
      <c r="B20" s="76">
        <v>0</v>
      </c>
      <c r="C20" s="76">
        <v>0</v>
      </c>
      <c r="D20" s="76">
        <f>3.72+5.9</f>
        <v>9.6199999999999992</v>
      </c>
      <c r="E20" s="77">
        <v>2</v>
      </c>
      <c r="F20" s="76">
        <v>0</v>
      </c>
      <c r="G20" s="76">
        <v>0</v>
      </c>
      <c r="H20" s="78">
        <f t="shared" si="0"/>
        <v>9.6199999999999992</v>
      </c>
      <c r="I20" s="77">
        <f t="shared" si="1"/>
        <v>2</v>
      </c>
    </row>
    <row r="21" spans="1:9" s="24" customFormat="1" ht="27" customHeight="1" x14ac:dyDescent="0.15">
      <c r="A21" s="54" t="s">
        <v>32</v>
      </c>
      <c r="B21" s="76">
        <v>0</v>
      </c>
      <c r="C21" s="76">
        <v>0</v>
      </c>
      <c r="D21" s="76">
        <f>4.52+4.2</f>
        <v>8.7200000000000006</v>
      </c>
      <c r="E21" s="77">
        <v>2</v>
      </c>
      <c r="F21" s="76">
        <v>0</v>
      </c>
      <c r="G21" s="76">
        <v>0</v>
      </c>
      <c r="H21" s="78">
        <f t="shared" si="0"/>
        <v>8.7200000000000006</v>
      </c>
      <c r="I21" s="77">
        <f t="shared" si="1"/>
        <v>2</v>
      </c>
    </row>
    <row r="22" spans="1:9" s="24" customFormat="1" ht="27" customHeight="1" x14ac:dyDescent="0.15">
      <c r="A22" s="54" t="s">
        <v>33</v>
      </c>
      <c r="B22" s="76">
        <v>0</v>
      </c>
      <c r="C22" s="76">
        <v>0</v>
      </c>
      <c r="D22" s="76">
        <v>4.04</v>
      </c>
      <c r="E22" s="77">
        <v>1</v>
      </c>
      <c r="F22" s="76">
        <v>0</v>
      </c>
      <c r="G22" s="76">
        <v>0</v>
      </c>
      <c r="H22" s="78">
        <f t="shared" si="0"/>
        <v>4.04</v>
      </c>
      <c r="I22" s="77">
        <f t="shared" si="1"/>
        <v>1</v>
      </c>
    </row>
    <row r="23" spans="1:9" s="24" customFormat="1" ht="27" customHeight="1" x14ac:dyDescent="0.15">
      <c r="A23" s="54" t="s">
        <v>34</v>
      </c>
      <c r="B23" s="76">
        <v>0</v>
      </c>
      <c r="C23" s="76">
        <v>0</v>
      </c>
      <c r="D23" s="76">
        <f>6.52+5.6+5.86</f>
        <v>17.98</v>
      </c>
      <c r="E23" s="77">
        <v>3</v>
      </c>
      <c r="F23" s="76">
        <v>0</v>
      </c>
      <c r="G23" s="76">
        <v>0</v>
      </c>
      <c r="H23" s="78">
        <f t="shared" si="0"/>
        <v>17.98</v>
      </c>
      <c r="I23" s="77">
        <f t="shared" si="1"/>
        <v>3</v>
      </c>
    </row>
    <row r="24" spans="1:9" s="24" customFormat="1" ht="27" customHeight="1" x14ac:dyDescent="0.15">
      <c r="A24" s="54" t="s">
        <v>35</v>
      </c>
      <c r="B24" s="76">
        <v>0</v>
      </c>
      <c r="C24" s="76">
        <v>0</v>
      </c>
      <c r="D24" s="76">
        <f>4.2+4.9</f>
        <v>9.1</v>
      </c>
      <c r="E24" s="77">
        <v>2</v>
      </c>
      <c r="F24" s="76">
        <v>0</v>
      </c>
      <c r="G24" s="76">
        <v>0</v>
      </c>
      <c r="H24" s="78">
        <f t="shared" si="0"/>
        <v>9.1</v>
      </c>
      <c r="I24" s="77">
        <f t="shared" si="1"/>
        <v>2</v>
      </c>
    </row>
    <row r="25" spans="1:9" s="24" customFormat="1" ht="27" customHeight="1" x14ac:dyDescent="0.15">
      <c r="A25" s="54" t="s">
        <v>36</v>
      </c>
      <c r="B25" s="76">
        <v>0</v>
      </c>
      <c r="C25" s="76">
        <v>0</v>
      </c>
      <c r="D25" s="76">
        <f>5.58+5.6</f>
        <v>11.18</v>
      </c>
      <c r="E25" s="77">
        <v>2</v>
      </c>
      <c r="F25" s="76">
        <v>0</v>
      </c>
      <c r="G25" s="76">
        <v>0</v>
      </c>
      <c r="H25" s="78">
        <f t="shared" si="0"/>
        <v>11.18</v>
      </c>
      <c r="I25" s="77">
        <f t="shared" si="1"/>
        <v>2</v>
      </c>
    </row>
    <row r="26" spans="1:9" s="24" customFormat="1" ht="27" customHeight="1" x14ac:dyDescent="0.15">
      <c r="A26" s="54" t="s">
        <v>37</v>
      </c>
      <c r="B26" s="76">
        <v>0</v>
      </c>
      <c r="C26" s="76">
        <v>0</v>
      </c>
      <c r="D26" s="76">
        <f>6.36+5.54+5.8+3.82</f>
        <v>21.52</v>
      </c>
      <c r="E26" s="77">
        <v>4</v>
      </c>
      <c r="F26" s="76">
        <v>0</v>
      </c>
      <c r="G26" s="76">
        <v>0</v>
      </c>
      <c r="H26" s="78">
        <f t="shared" si="0"/>
        <v>21.52</v>
      </c>
      <c r="I26" s="77">
        <f t="shared" si="1"/>
        <v>4</v>
      </c>
    </row>
    <row r="27" spans="1:9" s="24" customFormat="1" ht="27" customHeight="1" x14ac:dyDescent="0.15">
      <c r="A27" s="54" t="s">
        <v>38</v>
      </c>
      <c r="B27" s="76">
        <v>0</v>
      </c>
      <c r="C27" s="76">
        <v>0</v>
      </c>
      <c r="D27" s="76">
        <f>4.74+4.24</f>
        <v>8.98</v>
      </c>
      <c r="E27" s="77">
        <v>2</v>
      </c>
      <c r="F27" s="76">
        <v>0</v>
      </c>
      <c r="G27" s="76">
        <v>0</v>
      </c>
      <c r="H27" s="78">
        <f t="shared" si="0"/>
        <v>8.98</v>
      </c>
      <c r="I27" s="77">
        <f t="shared" si="1"/>
        <v>2</v>
      </c>
    </row>
    <row r="28" spans="1:9" s="24" customFormat="1" ht="27" customHeight="1" x14ac:dyDescent="0.15">
      <c r="A28" s="54" t="s">
        <v>39</v>
      </c>
      <c r="B28" s="76">
        <v>0</v>
      </c>
      <c r="C28" s="76">
        <v>0</v>
      </c>
      <c r="D28" s="76">
        <v>3.66</v>
      </c>
      <c r="E28" s="77">
        <v>1</v>
      </c>
      <c r="F28" s="76">
        <v>0</v>
      </c>
      <c r="G28" s="76">
        <v>0</v>
      </c>
      <c r="H28" s="78">
        <f t="shared" si="0"/>
        <v>3.66</v>
      </c>
      <c r="I28" s="77">
        <f t="shared" si="1"/>
        <v>1</v>
      </c>
    </row>
    <row r="29" spans="1:9" s="24" customFormat="1" ht="27" customHeight="1" x14ac:dyDescent="0.15">
      <c r="A29" s="54" t="s">
        <v>40</v>
      </c>
      <c r="B29" s="76">
        <v>0</v>
      </c>
      <c r="C29" s="76">
        <v>0</v>
      </c>
      <c r="D29" s="76">
        <f>3.9+4.98</f>
        <v>8.8800000000000008</v>
      </c>
      <c r="E29" s="77">
        <v>2</v>
      </c>
      <c r="F29" s="76">
        <v>0</v>
      </c>
      <c r="G29" s="76">
        <v>0</v>
      </c>
      <c r="H29" s="78">
        <f t="shared" si="0"/>
        <v>8.8800000000000008</v>
      </c>
      <c r="I29" s="77">
        <f t="shared" si="1"/>
        <v>2</v>
      </c>
    </row>
    <row r="30" spans="1:9" s="24" customFormat="1" ht="27" customHeight="1" x14ac:dyDescent="0.15">
      <c r="A30" s="54" t="s">
        <v>41</v>
      </c>
      <c r="B30" s="76">
        <v>0</v>
      </c>
      <c r="C30" s="76">
        <v>0</v>
      </c>
      <c r="D30" s="76">
        <f>6.02+5.54</f>
        <v>11.56</v>
      </c>
      <c r="E30" s="77">
        <v>2</v>
      </c>
      <c r="F30" s="76">
        <v>0</v>
      </c>
      <c r="G30" s="76">
        <v>0</v>
      </c>
      <c r="H30" s="78">
        <f t="shared" si="0"/>
        <v>11.56</v>
      </c>
      <c r="I30" s="77">
        <f t="shared" si="1"/>
        <v>2</v>
      </c>
    </row>
    <row r="31" spans="1:9" s="24" customFormat="1" ht="27" customHeight="1" x14ac:dyDescent="0.15">
      <c r="A31" s="54" t="s">
        <v>42</v>
      </c>
      <c r="B31" s="76">
        <v>0</v>
      </c>
      <c r="C31" s="76">
        <v>0</v>
      </c>
      <c r="D31" s="76">
        <f>6.34+6.08+6.08</f>
        <v>18.5</v>
      </c>
      <c r="E31" s="77">
        <v>3</v>
      </c>
      <c r="F31" s="76">
        <v>0</v>
      </c>
      <c r="G31" s="76">
        <v>0</v>
      </c>
      <c r="H31" s="78">
        <f t="shared" si="0"/>
        <v>18.5</v>
      </c>
      <c r="I31" s="77">
        <f t="shared" si="1"/>
        <v>3</v>
      </c>
    </row>
    <row r="32" spans="1:9" s="24" customFormat="1" ht="27" customHeight="1" x14ac:dyDescent="0.15">
      <c r="A32" s="54" t="s">
        <v>43</v>
      </c>
      <c r="B32" s="76">
        <v>0</v>
      </c>
      <c r="C32" s="76">
        <v>0</v>
      </c>
      <c r="D32" s="76">
        <f>3.9+6.02+3.62</f>
        <v>13.54</v>
      </c>
      <c r="E32" s="77">
        <v>3</v>
      </c>
      <c r="F32" s="76">
        <v>0</v>
      </c>
      <c r="G32" s="76">
        <v>0</v>
      </c>
      <c r="H32" s="78">
        <f t="shared" si="0"/>
        <v>13.54</v>
      </c>
      <c r="I32" s="77">
        <f t="shared" si="1"/>
        <v>3</v>
      </c>
    </row>
    <row r="33" spans="1:13" s="24" customFormat="1" ht="27" customHeight="1" x14ac:dyDescent="0.15">
      <c r="A33" s="54" t="s">
        <v>44</v>
      </c>
      <c r="B33" s="76">
        <v>0</v>
      </c>
      <c r="C33" s="76">
        <v>0</v>
      </c>
      <c r="D33" s="76">
        <f>6.1+5.92+4.66</f>
        <v>16.68</v>
      </c>
      <c r="E33" s="77">
        <v>3</v>
      </c>
      <c r="F33" s="76">
        <v>0</v>
      </c>
      <c r="G33" s="76">
        <v>0</v>
      </c>
      <c r="H33" s="78">
        <f t="shared" si="0"/>
        <v>16.68</v>
      </c>
      <c r="I33" s="77">
        <f t="shared" si="1"/>
        <v>3</v>
      </c>
    </row>
    <row r="34" spans="1:13" s="24" customFormat="1" ht="27" customHeight="1" x14ac:dyDescent="0.15">
      <c r="A34" s="54" t="s">
        <v>45</v>
      </c>
      <c r="B34" s="76">
        <v>0</v>
      </c>
      <c r="C34" s="79">
        <v>0</v>
      </c>
      <c r="D34" s="76">
        <f>4.22+5.58</f>
        <v>9.8000000000000007</v>
      </c>
      <c r="E34" s="77">
        <v>2</v>
      </c>
      <c r="F34" s="76">
        <v>0</v>
      </c>
      <c r="G34" s="76">
        <v>0</v>
      </c>
      <c r="H34" s="78">
        <f t="shared" si="0"/>
        <v>9.8000000000000007</v>
      </c>
      <c r="I34" s="77">
        <f t="shared" si="1"/>
        <v>2</v>
      </c>
    </row>
    <row r="35" spans="1:13" s="24" customFormat="1" ht="27.75" customHeight="1" x14ac:dyDescent="0.15">
      <c r="A35" s="54" t="s">
        <v>46</v>
      </c>
      <c r="B35" s="76">
        <v>0</v>
      </c>
      <c r="C35" s="79">
        <v>0</v>
      </c>
      <c r="D35" s="76">
        <v>4</v>
      </c>
      <c r="E35" s="77">
        <v>1</v>
      </c>
      <c r="F35" s="76">
        <v>0</v>
      </c>
      <c r="G35" s="76">
        <v>0</v>
      </c>
      <c r="H35" s="78">
        <f t="shared" si="0"/>
        <v>4</v>
      </c>
      <c r="I35" s="77">
        <f t="shared" si="1"/>
        <v>1</v>
      </c>
    </row>
    <row r="36" spans="1:13" s="24" customFormat="1" ht="37.5" customHeight="1" x14ac:dyDescent="0.15">
      <c r="A36" s="55" t="s">
        <v>13</v>
      </c>
      <c r="B36" s="80">
        <f t="shared" ref="B36:I36" si="2">SUM(B5:B35)</f>
        <v>0</v>
      </c>
      <c r="C36" s="80">
        <f t="shared" si="2"/>
        <v>0</v>
      </c>
      <c r="D36" s="80">
        <f t="shared" si="2"/>
        <v>347.88</v>
      </c>
      <c r="E36" s="79">
        <f t="shared" si="2"/>
        <v>66</v>
      </c>
      <c r="F36" s="80">
        <f t="shared" si="2"/>
        <v>0</v>
      </c>
      <c r="G36" s="80">
        <f t="shared" si="2"/>
        <v>0</v>
      </c>
      <c r="H36" s="80">
        <f t="shared" si="2"/>
        <v>347.88</v>
      </c>
      <c r="I36" s="79">
        <f t="shared" si="2"/>
        <v>66</v>
      </c>
      <c r="K36" s="46"/>
      <c r="L36" s="46"/>
      <c r="M36" s="46"/>
    </row>
    <row r="37" spans="1:13" s="25" customFormat="1" ht="33.75" customHeight="1" x14ac:dyDescent="0.25">
      <c r="A37" s="60" t="s">
        <v>51</v>
      </c>
      <c r="B37" s="61"/>
      <c r="C37" s="61"/>
      <c r="D37" s="61"/>
      <c r="E37" s="61"/>
      <c r="F37" s="61"/>
      <c r="G37" s="61"/>
      <c r="I37" s="68"/>
      <c r="K37" s="49"/>
    </row>
    <row r="39" spans="1:13" x14ac:dyDescent="0.15">
      <c r="A39" s="21"/>
      <c r="B39" s="21"/>
      <c r="C39" s="21"/>
      <c r="D39" s="21"/>
      <c r="E39" s="21"/>
      <c r="F39" s="21"/>
      <c r="G39" s="21"/>
      <c r="H39" s="43"/>
      <c r="K39" s="43"/>
    </row>
    <row r="40" spans="1:13" x14ac:dyDescent="0.15">
      <c r="H40" s="43"/>
      <c r="I40" s="43"/>
    </row>
    <row r="41" spans="1:13" x14ac:dyDescent="0.15">
      <c r="H41" s="44"/>
    </row>
    <row r="44" spans="1:13" x14ac:dyDescent="0.15">
      <c r="H44" s="43"/>
      <c r="I44" s="43"/>
    </row>
    <row r="46" spans="1:13" x14ac:dyDescent="0.15">
      <c r="H46" s="43"/>
    </row>
  </sheetData>
  <mergeCells count="7">
    <mergeCell ref="A1:I1"/>
    <mergeCell ref="B2:I2"/>
    <mergeCell ref="B3:C3"/>
    <mergeCell ref="D3:E3"/>
    <mergeCell ref="F3:G3"/>
    <mergeCell ref="H3:I3"/>
    <mergeCell ref="A3:A4"/>
  </mergeCells>
  <phoneticPr fontId="19" type="noConversion"/>
  <pageMargins left="0.47" right="0.22" top="0.23" bottom="0.23" header="0.24" footer="0.2"/>
  <pageSetup paperSize="9" scale="75" orientation="portrait"/>
  <headerFooter scaleWithDoc="0"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K41"/>
  <sheetViews>
    <sheetView topLeftCell="A14" workbookViewId="0">
      <selection activeCell="B26" sqref="B26:C36"/>
    </sheetView>
  </sheetViews>
  <sheetFormatPr defaultColWidth="9" defaultRowHeight="14.25" x14ac:dyDescent="0.15"/>
  <cols>
    <col min="1" max="1" width="6.125" style="1" customWidth="1"/>
    <col min="2" max="2" width="33.875" style="1" customWidth="1"/>
    <col min="3" max="3" width="35.5" style="1" customWidth="1"/>
    <col min="4" max="4" width="10.625" style="1" hidden="1" customWidth="1"/>
    <col min="5" max="5" width="6.25" style="1" hidden="1" customWidth="1"/>
    <col min="6" max="6" width="11.625" style="1" hidden="1" customWidth="1"/>
    <col min="7" max="7" width="6.25" style="1" hidden="1" customWidth="1"/>
    <col min="8" max="8" width="10.5" style="1" hidden="1" customWidth="1"/>
    <col min="9" max="9" width="6.25" style="1" hidden="1" customWidth="1"/>
    <col min="10" max="10" width="14.375" style="1" hidden="1" customWidth="1"/>
    <col min="11" max="11" width="13.125" style="1" hidden="1" customWidth="1"/>
    <col min="12" max="16384" width="9" style="1"/>
  </cols>
  <sheetData>
    <row r="1" spans="1:11" ht="25.5" customHeight="1" x14ac:dyDescent="0.1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2" customFormat="1" ht="17.25" customHeight="1" x14ac:dyDescent="0.15">
      <c r="A2" s="4">
        <v>1000</v>
      </c>
      <c r="B2" s="98" t="s">
        <v>48</v>
      </c>
      <c r="C2" s="98"/>
      <c r="D2" s="5"/>
      <c r="E2" s="5"/>
      <c r="F2" s="6"/>
      <c r="G2" s="6"/>
      <c r="H2" s="6"/>
      <c r="I2" s="6"/>
    </row>
    <row r="3" spans="1:11" s="2" customFormat="1" ht="24" customHeight="1" x14ac:dyDescent="0.15">
      <c r="A3" s="102" t="s">
        <v>2</v>
      </c>
      <c r="B3" s="99" t="s">
        <v>52</v>
      </c>
      <c r="C3" s="99"/>
      <c r="D3" s="99"/>
      <c r="E3" s="99"/>
      <c r="F3" s="99"/>
      <c r="G3" s="99"/>
      <c r="H3" s="99"/>
      <c r="I3" s="99"/>
      <c r="J3" s="99"/>
      <c r="K3" s="99"/>
    </row>
    <row r="4" spans="1:11" s="2" customFormat="1" ht="24" customHeight="1" x14ac:dyDescent="0.15">
      <c r="A4" s="103"/>
      <c r="B4" s="100"/>
      <c r="C4" s="101"/>
      <c r="D4" s="100"/>
      <c r="E4" s="101"/>
      <c r="F4" s="100"/>
      <c r="G4" s="101"/>
      <c r="H4" s="8"/>
      <c r="I4" s="9"/>
      <c r="J4" s="100" t="s">
        <v>13</v>
      </c>
      <c r="K4" s="101"/>
    </row>
    <row r="5" spans="1:11" s="2" customFormat="1" ht="24" customHeight="1" x14ac:dyDescent="0.15">
      <c r="A5" s="104"/>
      <c r="B5" s="7" t="s">
        <v>14</v>
      </c>
      <c r="C5" s="7" t="s">
        <v>15</v>
      </c>
      <c r="D5" s="7" t="s">
        <v>14</v>
      </c>
      <c r="E5" s="7" t="s">
        <v>15</v>
      </c>
      <c r="F5" s="7" t="s">
        <v>14</v>
      </c>
      <c r="G5" s="7" t="s">
        <v>15</v>
      </c>
      <c r="H5" s="7" t="s">
        <v>14</v>
      </c>
      <c r="I5" s="7" t="s">
        <v>15</v>
      </c>
      <c r="J5" s="7" t="s">
        <v>14</v>
      </c>
      <c r="K5" s="7" t="s">
        <v>15</v>
      </c>
    </row>
    <row r="6" spans="1:11" s="3" customFormat="1" ht="20.25" customHeight="1" x14ac:dyDescent="0.15">
      <c r="A6" s="11" t="s">
        <v>16</v>
      </c>
      <c r="B6" s="12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4">
        <v>0</v>
      </c>
      <c r="K6" s="23">
        <v>0</v>
      </c>
    </row>
    <row r="7" spans="1:11" s="3" customFormat="1" ht="20.25" customHeight="1" x14ac:dyDescent="0.15">
      <c r="A7" s="11" t="s">
        <v>17</v>
      </c>
      <c r="B7" s="12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4">
        <v>0</v>
      </c>
      <c r="K7" s="23">
        <v>0</v>
      </c>
    </row>
    <row r="8" spans="1:11" s="3" customFormat="1" ht="20.25" customHeight="1" x14ac:dyDescent="0.15">
      <c r="A8" s="11" t="s">
        <v>18</v>
      </c>
      <c r="B8" s="12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4">
        <v>0</v>
      </c>
      <c r="K8" s="23">
        <v>0</v>
      </c>
    </row>
    <row r="9" spans="1:11" s="3" customFormat="1" ht="20.25" customHeight="1" x14ac:dyDescent="0.15">
      <c r="A9" s="11" t="s">
        <v>19</v>
      </c>
      <c r="B9" s="12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4">
        <v>0</v>
      </c>
      <c r="K9" s="23">
        <v>0</v>
      </c>
    </row>
    <row r="10" spans="1:11" s="3" customFormat="1" ht="20.25" customHeight="1" x14ac:dyDescent="0.15">
      <c r="A10" s="11" t="s">
        <v>20</v>
      </c>
      <c r="B10" s="12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4">
        <v>0</v>
      </c>
      <c r="K10" s="23">
        <v>0</v>
      </c>
    </row>
    <row r="11" spans="1:11" s="3" customFormat="1" ht="20.25" customHeight="1" x14ac:dyDescent="0.15">
      <c r="A11" s="11" t="s">
        <v>21</v>
      </c>
      <c r="B11" s="12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4">
        <v>0</v>
      </c>
      <c r="K11" s="23">
        <v>0</v>
      </c>
    </row>
    <row r="12" spans="1:11" s="3" customFormat="1" ht="20.25" customHeight="1" x14ac:dyDescent="0.15">
      <c r="A12" s="11" t="s">
        <v>22</v>
      </c>
      <c r="B12" s="12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4">
        <v>0</v>
      </c>
      <c r="K12" s="23">
        <v>0</v>
      </c>
    </row>
    <row r="13" spans="1:11" s="3" customFormat="1" ht="20.25" customHeight="1" x14ac:dyDescent="0.15">
      <c r="A13" s="11" t="s">
        <v>23</v>
      </c>
      <c r="B13" s="12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4">
        <v>0</v>
      </c>
      <c r="K13" s="23">
        <v>0</v>
      </c>
    </row>
    <row r="14" spans="1:11" s="3" customFormat="1" ht="20.25" customHeight="1" x14ac:dyDescent="0.15">
      <c r="A14" s="11" t="s">
        <v>24</v>
      </c>
      <c r="B14" s="12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4">
        <v>5.8</v>
      </c>
      <c r="K14" s="23">
        <v>1</v>
      </c>
    </row>
    <row r="15" spans="1:11" s="3" customFormat="1" ht="20.25" customHeight="1" x14ac:dyDescent="0.15">
      <c r="A15" s="11" t="s">
        <v>25</v>
      </c>
      <c r="B15" s="12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4">
        <v>0</v>
      </c>
      <c r="K15" s="23">
        <v>0</v>
      </c>
    </row>
    <row r="16" spans="1:11" s="3" customFormat="1" ht="20.25" customHeight="1" x14ac:dyDescent="0.15">
      <c r="A16" s="11" t="s">
        <v>26</v>
      </c>
      <c r="B16" s="12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4">
        <v>0</v>
      </c>
      <c r="K16" s="23">
        <v>0</v>
      </c>
    </row>
    <row r="17" spans="1:11" s="3" customFormat="1" ht="20.25" customHeight="1" x14ac:dyDescent="0.15">
      <c r="A17" s="11" t="s">
        <v>27</v>
      </c>
      <c r="B17" s="12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4">
        <v>0</v>
      </c>
      <c r="K17" s="23">
        <v>0</v>
      </c>
    </row>
    <row r="18" spans="1:11" s="3" customFormat="1" ht="20.25" customHeight="1" x14ac:dyDescent="0.15">
      <c r="A18" s="11" t="s">
        <v>28</v>
      </c>
      <c r="B18" s="12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4">
        <v>0</v>
      </c>
      <c r="K18" s="23">
        <v>0</v>
      </c>
    </row>
    <row r="19" spans="1:11" s="3" customFormat="1" ht="20.25" customHeight="1" x14ac:dyDescent="0.15">
      <c r="A19" s="11" t="s">
        <v>29</v>
      </c>
      <c r="B19" s="12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4">
        <v>0</v>
      </c>
      <c r="K19" s="23">
        <v>0</v>
      </c>
    </row>
    <row r="20" spans="1:11" s="3" customFormat="1" ht="20.25" customHeight="1" x14ac:dyDescent="0.15">
      <c r="A20" s="11" t="s">
        <v>30</v>
      </c>
      <c r="B20" s="12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4">
        <v>0</v>
      </c>
      <c r="K20" s="23">
        <v>0</v>
      </c>
    </row>
    <row r="21" spans="1:11" s="3" customFormat="1" ht="20.25" customHeight="1" x14ac:dyDescent="0.15">
      <c r="A21" s="11" t="s">
        <v>31</v>
      </c>
      <c r="B21" s="12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4">
        <v>0</v>
      </c>
      <c r="K21" s="23">
        <v>0</v>
      </c>
    </row>
    <row r="22" spans="1:11" s="3" customFormat="1" ht="20.25" customHeight="1" x14ac:dyDescent="0.15">
      <c r="A22" s="11" t="s">
        <v>32</v>
      </c>
      <c r="B22" s="12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4">
        <v>0</v>
      </c>
      <c r="K22" s="23">
        <v>0</v>
      </c>
    </row>
    <row r="23" spans="1:11" s="3" customFormat="1" ht="20.25" customHeight="1" x14ac:dyDescent="0.15">
      <c r="A23" s="11" t="s">
        <v>33</v>
      </c>
      <c r="B23" s="12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4">
        <v>0</v>
      </c>
      <c r="K23" s="23">
        <v>0</v>
      </c>
    </row>
    <row r="24" spans="1:11" s="3" customFormat="1" ht="20.25" customHeight="1" x14ac:dyDescent="0.15">
      <c r="A24" s="11" t="s">
        <v>34</v>
      </c>
      <c r="B24" s="12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4">
        <v>0</v>
      </c>
      <c r="K24" s="23">
        <v>0</v>
      </c>
    </row>
    <row r="25" spans="1:11" s="3" customFormat="1" ht="20.25" customHeight="1" x14ac:dyDescent="0.15">
      <c r="A25" s="11" t="s">
        <v>35</v>
      </c>
      <c r="B25" s="12">
        <v>8.2799999999999994</v>
      </c>
      <c r="C25" s="13">
        <v>1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4">
        <v>0</v>
      </c>
      <c r="K25" s="23">
        <v>0</v>
      </c>
    </row>
    <row r="26" spans="1:11" s="3" customFormat="1" ht="20.25" customHeight="1" x14ac:dyDescent="0.15">
      <c r="A26" s="11" t="s">
        <v>36</v>
      </c>
      <c r="B26" s="12">
        <f>2.62+8.64</f>
        <v>11.26</v>
      </c>
      <c r="C26" s="13">
        <v>2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>
        <v>0</v>
      </c>
      <c r="K26" s="23">
        <v>0</v>
      </c>
    </row>
    <row r="27" spans="1:11" s="3" customFormat="1" ht="20.25" customHeight="1" x14ac:dyDescent="0.15">
      <c r="A27" s="11" t="s">
        <v>37</v>
      </c>
      <c r="B27" s="12">
        <f>9.14+8.08</f>
        <v>17.22</v>
      </c>
      <c r="C27" s="13">
        <v>2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4">
        <v>0</v>
      </c>
      <c r="K27" s="23">
        <v>0</v>
      </c>
    </row>
    <row r="28" spans="1:11" s="3" customFormat="1" ht="20.25" customHeight="1" x14ac:dyDescent="0.15">
      <c r="A28" s="11" t="s">
        <v>38</v>
      </c>
      <c r="B28" s="12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4">
        <v>0</v>
      </c>
      <c r="K28" s="23">
        <v>0</v>
      </c>
    </row>
    <row r="29" spans="1:11" s="3" customFormat="1" ht="20.25" customHeight="1" x14ac:dyDescent="0.15">
      <c r="A29" s="11" t="s">
        <v>39</v>
      </c>
      <c r="B29" s="12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4">
        <v>0</v>
      </c>
      <c r="K29" s="23">
        <v>0</v>
      </c>
    </row>
    <row r="30" spans="1:11" s="3" customFormat="1" ht="20.25" customHeight="1" x14ac:dyDescent="0.15">
      <c r="A30" s="11" t="s">
        <v>40</v>
      </c>
      <c r="B30" s="12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4">
        <v>0</v>
      </c>
      <c r="K30" s="23">
        <v>0</v>
      </c>
    </row>
    <row r="31" spans="1:11" s="3" customFormat="1" ht="20.25" customHeight="1" x14ac:dyDescent="0.15">
      <c r="A31" s="11" t="s">
        <v>41</v>
      </c>
      <c r="B31" s="12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4">
        <v>0</v>
      </c>
      <c r="K31" s="23">
        <v>0</v>
      </c>
    </row>
    <row r="32" spans="1:11" s="3" customFormat="1" ht="20.25" customHeight="1" x14ac:dyDescent="0.15">
      <c r="A32" s="11" t="s">
        <v>42</v>
      </c>
      <c r="B32" s="12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4">
        <v>0</v>
      </c>
      <c r="K32" s="23">
        <v>0</v>
      </c>
    </row>
    <row r="33" spans="1:11" s="3" customFormat="1" ht="20.25" customHeight="1" x14ac:dyDescent="0.15">
      <c r="A33" s="11" t="s">
        <v>43</v>
      </c>
      <c r="B33" s="12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4">
        <v>0</v>
      </c>
      <c r="K33" s="23">
        <v>0</v>
      </c>
    </row>
    <row r="34" spans="1:11" s="3" customFormat="1" ht="20.25" customHeight="1" x14ac:dyDescent="0.15">
      <c r="A34" s="11" t="s">
        <v>44</v>
      </c>
      <c r="B34" s="12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4" t="e">
        <v>#REF!</v>
      </c>
      <c r="K34" s="23">
        <v>0</v>
      </c>
    </row>
    <row r="35" spans="1:11" s="3" customFormat="1" ht="19.5" customHeight="1" x14ac:dyDescent="0.15">
      <c r="A35" s="11" t="s">
        <v>45</v>
      </c>
      <c r="B35" s="12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4">
        <v>0</v>
      </c>
      <c r="K35" s="23">
        <v>0</v>
      </c>
    </row>
    <row r="36" spans="1:11" s="3" customFormat="1" ht="18.75" customHeight="1" x14ac:dyDescent="0.15">
      <c r="A36" s="11" t="s">
        <v>46</v>
      </c>
      <c r="B36" s="12">
        <v>0</v>
      </c>
      <c r="C36" s="13">
        <v>0</v>
      </c>
      <c r="D36" s="13">
        <v>0</v>
      </c>
      <c r="E36" s="13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23">
        <v>0</v>
      </c>
    </row>
    <row r="37" spans="1:11" s="3" customFormat="1" ht="19.5" customHeight="1" x14ac:dyDescent="0.15">
      <c r="A37" s="15" t="s">
        <v>13</v>
      </c>
      <c r="B37" s="12">
        <f>SUM(B6:B36)</f>
        <v>36.76</v>
      </c>
      <c r="C37" s="13">
        <f>SUM(C6:C36)</f>
        <v>5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4" t="e">
        <v>#REF!</v>
      </c>
      <c r="K37" s="14">
        <v>1</v>
      </c>
    </row>
    <row r="38" spans="1:11" ht="20.25" customHeight="1" x14ac:dyDescent="0.15">
      <c r="A38" s="17" t="s">
        <v>53</v>
      </c>
      <c r="B38" s="18"/>
      <c r="C38" s="18"/>
      <c r="D38" s="19"/>
      <c r="E38" s="19"/>
      <c r="F38" s="19"/>
      <c r="G38" s="20" t="s">
        <v>54</v>
      </c>
      <c r="H38" s="19"/>
      <c r="I38" s="19"/>
      <c r="K38" s="18" t="s">
        <v>2</v>
      </c>
    </row>
    <row r="39" spans="1:11" x14ac:dyDescent="0.15">
      <c r="A39" s="94"/>
      <c r="B39" s="94"/>
      <c r="C39" s="21"/>
    </row>
    <row r="40" spans="1:11" x14ac:dyDescent="0.15">
      <c r="F40" s="22"/>
    </row>
    <row r="41" spans="1:11" x14ac:dyDescent="0.15">
      <c r="F41" s="22"/>
    </row>
  </sheetData>
  <mergeCells count="9">
    <mergeCell ref="A39:B39"/>
    <mergeCell ref="A3:A5"/>
    <mergeCell ref="A1:K1"/>
    <mergeCell ref="B2:C2"/>
    <mergeCell ref="B3:K3"/>
    <mergeCell ref="B4:C4"/>
    <mergeCell ref="D4:E4"/>
    <mergeCell ref="F4:G4"/>
    <mergeCell ref="J4:K4"/>
  </mergeCells>
  <phoneticPr fontId="19" type="noConversion"/>
  <pageMargins left="0.79" right="0.16" top="0.19" bottom="0.23" header="0.21" footer="0.2"/>
  <pageSetup paperSize="9" scale="99" orientation="portrait"/>
  <headerFooter scaleWithDoc="0"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AG48"/>
  <sheetViews>
    <sheetView workbookViewId="0">
      <pane xSplit="1" ySplit="4" topLeftCell="E20" activePane="bottomRight" state="frozen"/>
      <selection pane="topRight"/>
      <selection pane="bottomLeft"/>
      <selection pane="bottomRight" activeCell="AB5" sqref="AB5:AC35"/>
    </sheetView>
  </sheetViews>
  <sheetFormatPr defaultColWidth="9" defaultRowHeight="14.25" x14ac:dyDescent="0.15"/>
  <cols>
    <col min="1" max="1" width="5.375" style="1" customWidth="1"/>
    <col min="2" max="2" width="12.375" style="1" customWidth="1"/>
    <col min="3" max="3" width="6" style="1" customWidth="1"/>
    <col min="4" max="4" width="12.25" style="1" customWidth="1"/>
    <col min="5" max="5" width="5.375" style="1" customWidth="1"/>
    <col min="6" max="6" width="9.625" style="1" customWidth="1"/>
    <col min="7" max="7" width="6.25" style="1" customWidth="1"/>
    <col min="8" max="8" width="10.125" style="1" customWidth="1"/>
    <col min="9" max="9" width="5.75" style="1" customWidth="1"/>
    <col min="10" max="10" width="9.25" style="1" customWidth="1"/>
    <col min="11" max="11" width="6.5" style="1" customWidth="1"/>
    <col min="12" max="12" width="9.875" style="1" customWidth="1"/>
    <col min="13" max="13" width="6.625" style="1" customWidth="1"/>
    <col min="14" max="14" width="9.625" style="1" customWidth="1"/>
    <col min="15" max="15" width="6.625" style="1" customWidth="1"/>
    <col min="16" max="16" width="9.75" style="1" customWidth="1"/>
    <col min="17" max="17" width="6.625" style="1" customWidth="1"/>
    <col min="18" max="18" width="11" style="1" customWidth="1"/>
    <col min="19" max="19" width="6" style="1" customWidth="1"/>
    <col min="20" max="20" width="8.375" style="1" customWidth="1"/>
    <col min="21" max="21" width="5.875" style="1" customWidth="1"/>
    <col min="22" max="22" width="9.375" style="1" customWidth="1"/>
    <col min="23" max="23" width="5.75" style="1" customWidth="1"/>
    <col min="24" max="24" width="9.125" style="1" customWidth="1"/>
    <col min="25" max="25" width="5" style="1" customWidth="1"/>
    <col min="26" max="26" width="9.875" style="1" customWidth="1"/>
    <col min="27" max="27" width="5.5" style="1" customWidth="1"/>
    <col min="28" max="28" width="13.75" style="1" customWidth="1"/>
    <col min="29" max="29" width="11.125" style="1" customWidth="1"/>
    <col min="30" max="30" width="9" style="1"/>
    <col min="31" max="31" width="13" style="1"/>
    <col min="32" max="32" width="9" style="1"/>
    <col min="33" max="33" width="11.625" style="1"/>
    <col min="34" max="16384" width="9" style="1"/>
  </cols>
  <sheetData>
    <row r="1" spans="1:29" ht="35.25" customHeight="1" x14ac:dyDescent="0.1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</row>
    <row r="2" spans="1:29" s="2" customFormat="1" ht="23.25" customHeight="1" x14ac:dyDescent="0.15">
      <c r="A2" s="4">
        <v>1000</v>
      </c>
      <c r="B2" s="4"/>
      <c r="C2" s="4"/>
      <c r="D2" s="87" t="s">
        <v>1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</row>
    <row r="3" spans="1:29" s="2" customFormat="1" ht="37.5" customHeight="1" x14ac:dyDescent="0.15">
      <c r="A3" s="95" t="s">
        <v>2</v>
      </c>
      <c r="B3" s="88" t="s">
        <v>55</v>
      </c>
      <c r="C3" s="89"/>
      <c r="D3" s="88" t="s">
        <v>56</v>
      </c>
      <c r="E3" s="89"/>
      <c r="F3" s="88" t="s">
        <v>57</v>
      </c>
      <c r="G3" s="89"/>
      <c r="H3" s="88" t="s">
        <v>58</v>
      </c>
      <c r="I3" s="89"/>
      <c r="J3" s="88" t="s">
        <v>59</v>
      </c>
      <c r="K3" s="89"/>
      <c r="L3" s="88" t="s">
        <v>60</v>
      </c>
      <c r="M3" s="89"/>
      <c r="N3" s="88" t="s">
        <v>61</v>
      </c>
      <c r="O3" s="89"/>
      <c r="P3" s="88" t="s">
        <v>62</v>
      </c>
      <c r="Q3" s="89"/>
      <c r="R3" s="88" t="s">
        <v>63</v>
      </c>
      <c r="S3" s="89"/>
      <c r="T3" s="88" t="s">
        <v>64</v>
      </c>
      <c r="U3" s="89"/>
      <c r="V3" s="88" t="s">
        <v>65</v>
      </c>
      <c r="W3" s="89"/>
      <c r="X3" s="88" t="s">
        <v>66</v>
      </c>
      <c r="Y3" s="89"/>
      <c r="Z3" s="88" t="s">
        <v>67</v>
      </c>
      <c r="AA3" s="89"/>
      <c r="AB3" s="92" t="s">
        <v>13</v>
      </c>
      <c r="AC3" s="93"/>
    </row>
    <row r="4" spans="1:29" s="2" customFormat="1" ht="24.75" customHeight="1" x14ac:dyDescent="0.15">
      <c r="A4" s="96"/>
      <c r="B4" s="52" t="s">
        <v>14</v>
      </c>
      <c r="C4" s="52" t="s">
        <v>15</v>
      </c>
      <c r="D4" s="52" t="s">
        <v>14</v>
      </c>
      <c r="E4" s="52" t="s">
        <v>15</v>
      </c>
      <c r="F4" s="53" t="s">
        <v>14</v>
      </c>
      <c r="G4" s="53" t="s">
        <v>15</v>
      </c>
      <c r="H4" s="53" t="s">
        <v>14</v>
      </c>
      <c r="I4" s="53" t="s">
        <v>15</v>
      </c>
      <c r="J4" s="53" t="s">
        <v>14</v>
      </c>
      <c r="K4" s="53" t="s">
        <v>15</v>
      </c>
      <c r="L4" s="53" t="s">
        <v>14</v>
      </c>
      <c r="M4" s="53" t="s">
        <v>15</v>
      </c>
      <c r="N4" s="53" t="s">
        <v>14</v>
      </c>
      <c r="O4" s="53" t="s">
        <v>15</v>
      </c>
      <c r="P4" s="53" t="s">
        <v>14</v>
      </c>
      <c r="Q4" s="53" t="s">
        <v>15</v>
      </c>
      <c r="R4" s="53" t="s">
        <v>14</v>
      </c>
      <c r="S4" s="53" t="s">
        <v>15</v>
      </c>
      <c r="T4" s="53" t="s">
        <v>14</v>
      </c>
      <c r="U4" s="53" t="s">
        <v>15</v>
      </c>
      <c r="V4" s="53" t="s">
        <v>14</v>
      </c>
      <c r="W4" s="53" t="s">
        <v>15</v>
      </c>
      <c r="X4" s="53" t="s">
        <v>14</v>
      </c>
      <c r="Y4" s="53" t="s">
        <v>15</v>
      </c>
      <c r="Z4" s="53" t="s">
        <v>14</v>
      </c>
      <c r="AA4" s="53" t="s">
        <v>15</v>
      </c>
      <c r="AB4" s="53" t="s">
        <v>14</v>
      </c>
      <c r="AC4" s="53" t="s">
        <v>15</v>
      </c>
    </row>
    <row r="5" spans="1:29" s="24" customFormat="1" ht="25.5" customHeight="1" x14ac:dyDescent="0.15">
      <c r="A5" s="54" t="s">
        <v>16</v>
      </c>
      <c r="B5" s="28">
        <f>4.88+3.16</f>
        <v>8.0399999999999991</v>
      </c>
      <c r="C5" s="29">
        <v>2</v>
      </c>
      <c r="D5" s="28">
        <v>3.38</v>
      </c>
      <c r="E5" s="29">
        <v>1</v>
      </c>
      <c r="F5" s="28">
        <v>4.24</v>
      </c>
      <c r="G5" s="29">
        <v>1</v>
      </c>
      <c r="H5" s="28">
        <v>0</v>
      </c>
      <c r="I5" s="29">
        <v>0</v>
      </c>
      <c r="J5" s="28">
        <v>0</v>
      </c>
      <c r="K5" s="29">
        <v>0</v>
      </c>
      <c r="L5" s="28">
        <v>0</v>
      </c>
      <c r="M5" s="29">
        <v>0</v>
      </c>
      <c r="N5" s="28">
        <v>6.22</v>
      </c>
      <c r="O5" s="29">
        <v>1</v>
      </c>
      <c r="P5" s="28">
        <v>0</v>
      </c>
      <c r="Q5" s="29">
        <v>0</v>
      </c>
      <c r="R5" s="28">
        <v>5.8</v>
      </c>
      <c r="S5" s="29">
        <v>1</v>
      </c>
      <c r="T5" s="28">
        <v>0</v>
      </c>
      <c r="U5" s="29">
        <v>0</v>
      </c>
      <c r="V5" s="28">
        <v>2.2999999999999998</v>
      </c>
      <c r="W5" s="29">
        <v>1</v>
      </c>
      <c r="X5" s="28">
        <v>6.54</v>
      </c>
      <c r="Y5" s="29">
        <v>1</v>
      </c>
      <c r="Z5" s="28">
        <v>1.42</v>
      </c>
      <c r="AA5" s="29">
        <v>1</v>
      </c>
      <c r="AB5" s="30">
        <f t="shared" ref="AB5:AB35" si="0">B5+D5+F5+H5+J5+L5+N5+P5+R5+T5+V5+X5+Z5</f>
        <v>37.94</v>
      </c>
      <c r="AC5" s="29">
        <f t="shared" ref="AC5:AC35" si="1">C5+E5+G5+I5+K5+M5+O5+Q5+S5+U5+W5+Y5+AA5</f>
        <v>9</v>
      </c>
    </row>
    <row r="6" spans="1:29" s="24" customFormat="1" ht="25.5" customHeight="1" x14ac:dyDescent="0.15">
      <c r="A6" s="54" t="s">
        <v>17</v>
      </c>
      <c r="B6" s="28">
        <f>5.42+2.96</f>
        <v>8.3800000000000008</v>
      </c>
      <c r="C6" s="29">
        <v>2</v>
      </c>
      <c r="D6" s="28">
        <v>0</v>
      </c>
      <c r="E6" s="29">
        <v>0</v>
      </c>
      <c r="F6" s="28">
        <v>5.2</v>
      </c>
      <c r="G6" s="29">
        <v>1</v>
      </c>
      <c r="H6" s="28">
        <v>0</v>
      </c>
      <c r="I6" s="29">
        <v>0</v>
      </c>
      <c r="J6" s="28">
        <v>0</v>
      </c>
      <c r="K6" s="29">
        <v>0</v>
      </c>
      <c r="L6" s="28">
        <v>0</v>
      </c>
      <c r="M6" s="29">
        <v>0</v>
      </c>
      <c r="N6" s="28">
        <v>5.88</v>
      </c>
      <c r="O6" s="29">
        <v>1</v>
      </c>
      <c r="P6" s="28">
        <v>5.28</v>
      </c>
      <c r="Q6" s="29">
        <v>1</v>
      </c>
      <c r="R6" s="28">
        <v>5.82</v>
      </c>
      <c r="S6" s="29">
        <v>1</v>
      </c>
      <c r="T6" s="28">
        <v>0</v>
      </c>
      <c r="U6" s="29">
        <v>0</v>
      </c>
      <c r="V6" s="28">
        <f>1.92+1.72</f>
        <v>3.64</v>
      </c>
      <c r="W6" s="29">
        <v>2</v>
      </c>
      <c r="X6" s="28">
        <v>0</v>
      </c>
      <c r="Y6" s="29">
        <v>0</v>
      </c>
      <c r="Z6" s="28">
        <v>2.52</v>
      </c>
      <c r="AA6" s="29">
        <v>1</v>
      </c>
      <c r="AB6" s="30">
        <f t="shared" si="0"/>
        <v>36.72</v>
      </c>
      <c r="AC6" s="29">
        <f t="shared" si="1"/>
        <v>9</v>
      </c>
    </row>
    <row r="7" spans="1:29" s="24" customFormat="1" ht="25.5" customHeight="1" x14ac:dyDescent="0.15">
      <c r="A7" s="54" t="s">
        <v>18</v>
      </c>
      <c r="B7" s="28">
        <f>4.94+4.18+1.84</f>
        <v>10.96</v>
      </c>
      <c r="C7" s="29">
        <v>3</v>
      </c>
      <c r="D7" s="28">
        <v>8.1999999999999993</v>
      </c>
      <c r="E7" s="29">
        <v>1</v>
      </c>
      <c r="F7" s="28">
        <v>4.9000000000000004</v>
      </c>
      <c r="G7" s="29">
        <v>1</v>
      </c>
      <c r="H7" s="28">
        <v>0</v>
      </c>
      <c r="I7" s="29">
        <v>0</v>
      </c>
      <c r="J7" s="28">
        <v>0</v>
      </c>
      <c r="K7" s="29">
        <v>0</v>
      </c>
      <c r="L7" s="28">
        <v>0</v>
      </c>
      <c r="M7" s="29">
        <v>0</v>
      </c>
      <c r="N7" s="28">
        <v>5.26</v>
      </c>
      <c r="O7" s="29">
        <v>1</v>
      </c>
      <c r="P7" s="28">
        <v>6.48</v>
      </c>
      <c r="Q7" s="29">
        <v>1</v>
      </c>
      <c r="R7" s="28">
        <v>6.92</v>
      </c>
      <c r="S7" s="29">
        <v>1</v>
      </c>
      <c r="T7" s="28">
        <v>0</v>
      </c>
      <c r="U7" s="29">
        <v>0</v>
      </c>
      <c r="V7" s="28">
        <v>0</v>
      </c>
      <c r="W7" s="29">
        <v>0</v>
      </c>
      <c r="X7" s="28">
        <v>4.88</v>
      </c>
      <c r="Y7" s="29">
        <v>1</v>
      </c>
      <c r="Z7" s="28">
        <v>3.04</v>
      </c>
      <c r="AA7" s="29">
        <v>1</v>
      </c>
      <c r="AB7" s="30">
        <f t="shared" si="0"/>
        <v>50.64</v>
      </c>
      <c r="AC7" s="29">
        <f t="shared" si="1"/>
        <v>10</v>
      </c>
    </row>
    <row r="8" spans="1:29" s="24" customFormat="1" ht="25.5" customHeight="1" x14ac:dyDescent="0.15">
      <c r="A8" s="54" t="s">
        <v>19</v>
      </c>
      <c r="B8" s="28">
        <f>5.68+3.96</f>
        <v>9.64</v>
      </c>
      <c r="C8" s="29">
        <v>2</v>
      </c>
      <c r="D8" s="28">
        <v>4.54</v>
      </c>
      <c r="E8" s="29">
        <v>1</v>
      </c>
      <c r="F8" s="28">
        <v>4.3</v>
      </c>
      <c r="G8" s="29">
        <v>1</v>
      </c>
      <c r="H8" s="28">
        <v>0</v>
      </c>
      <c r="I8" s="29">
        <v>0</v>
      </c>
      <c r="J8" s="28">
        <v>0</v>
      </c>
      <c r="K8" s="29">
        <v>0</v>
      </c>
      <c r="L8" s="28">
        <v>0</v>
      </c>
      <c r="M8" s="29">
        <v>0</v>
      </c>
      <c r="N8" s="28">
        <v>5.0999999999999996</v>
      </c>
      <c r="O8" s="29">
        <v>1</v>
      </c>
      <c r="P8" s="28">
        <v>5.34</v>
      </c>
      <c r="Q8" s="29">
        <v>1</v>
      </c>
      <c r="R8" s="28">
        <v>6.22</v>
      </c>
      <c r="S8" s="29">
        <v>1</v>
      </c>
      <c r="T8" s="28">
        <v>0</v>
      </c>
      <c r="U8" s="29">
        <v>0</v>
      </c>
      <c r="V8" s="28">
        <v>3.66</v>
      </c>
      <c r="W8" s="29">
        <v>1</v>
      </c>
      <c r="X8" s="28">
        <v>0</v>
      </c>
      <c r="Y8" s="29">
        <v>0</v>
      </c>
      <c r="Z8" s="28">
        <v>2.52</v>
      </c>
      <c r="AA8" s="29">
        <v>1</v>
      </c>
      <c r="AB8" s="30">
        <f t="shared" si="0"/>
        <v>41.32</v>
      </c>
      <c r="AC8" s="29">
        <f t="shared" si="1"/>
        <v>9</v>
      </c>
    </row>
    <row r="9" spans="1:29" s="24" customFormat="1" ht="25.5" customHeight="1" x14ac:dyDescent="0.15">
      <c r="A9" s="54" t="s">
        <v>20</v>
      </c>
      <c r="B9" s="28">
        <f>5+2.46</f>
        <v>7.46</v>
      </c>
      <c r="C9" s="29">
        <v>2</v>
      </c>
      <c r="D9" s="28">
        <v>0</v>
      </c>
      <c r="E9" s="29">
        <v>0</v>
      </c>
      <c r="F9" s="28">
        <v>5.56</v>
      </c>
      <c r="G9" s="29">
        <v>1</v>
      </c>
      <c r="H9" s="28">
        <v>0</v>
      </c>
      <c r="I9" s="29">
        <v>0</v>
      </c>
      <c r="J9" s="28">
        <v>0</v>
      </c>
      <c r="K9" s="29">
        <v>0</v>
      </c>
      <c r="L9" s="28">
        <v>0</v>
      </c>
      <c r="M9" s="29">
        <v>0</v>
      </c>
      <c r="N9" s="28">
        <v>6.28</v>
      </c>
      <c r="O9" s="29">
        <v>1</v>
      </c>
      <c r="P9" s="28">
        <v>0</v>
      </c>
      <c r="Q9" s="29">
        <v>0</v>
      </c>
      <c r="R9" s="28">
        <v>6.6</v>
      </c>
      <c r="S9" s="29">
        <v>1</v>
      </c>
      <c r="T9" s="28">
        <v>0</v>
      </c>
      <c r="U9" s="29">
        <v>0</v>
      </c>
      <c r="V9" s="28">
        <f>2.86+3.06</f>
        <v>5.92</v>
      </c>
      <c r="W9" s="29">
        <v>2</v>
      </c>
      <c r="X9" s="28">
        <v>0</v>
      </c>
      <c r="Y9" s="29">
        <v>0</v>
      </c>
      <c r="Z9" s="28">
        <v>3.26</v>
      </c>
      <c r="AA9" s="29">
        <v>1</v>
      </c>
      <c r="AB9" s="30">
        <f t="shared" si="0"/>
        <v>35.08</v>
      </c>
      <c r="AC9" s="29">
        <f t="shared" si="1"/>
        <v>8</v>
      </c>
    </row>
    <row r="10" spans="1:29" s="24" customFormat="1" ht="25.5" customHeight="1" x14ac:dyDescent="0.15">
      <c r="A10" s="54" t="s">
        <v>21</v>
      </c>
      <c r="B10" s="28">
        <f>5.32+1.98</f>
        <v>7.3</v>
      </c>
      <c r="C10" s="29">
        <v>2</v>
      </c>
      <c r="D10" s="28">
        <v>6.94</v>
      </c>
      <c r="E10" s="29">
        <v>1</v>
      </c>
      <c r="F10" s="28">
        <v>5.38</v>
      </c>
      <c r="G10" s="29">
        <v>1</v>
      </c>
      <c r="H10" s="28">
        <v>5.8</v>
      </c>
      <c r="I10" s="29">
        <v>1</v>
      </c>
      <c r="J10" s="28">
        <v>0</v>
      </c>
      <c r="K10" s="29">
        <v>0</v>
      </c>
      <c r="L10" s="28">
        <v>0</v>
      </c>
      <c r="M10" s="29">
        <v>0</v>
      </c>
      <c r="N10" s="28">
        <v>6.18</v>
      </c>
      <c r="O10" s="29">
        <v>1</v>
      </c>
      <c r="P10" s="28">
        <v>5.26</v>
      </c>
      <c r="Q10" s="29">
        <v>1</v>
      </c>
      <c r="R10" s="28">
        <v>7.14</v>
      </c>
      <c r="S10" s="29">
        <v>1</v>
      </c>
      <c r="T10" s="28">
        <v>0</v>
      </c>
      <c r="U10" s="29">
        <v>0</v>
      </c>
      <c r="V10" s="28">
        <f>2.62+2.7</f>
        <v>5.32</v>
      </c>
      <c r="W10" s="29">
        <v>2</v>
      </c>
      <c r="X10" s="28">
        <v>4.92</v>
      </c>
      <c r="Y10" s="29">
        <v>1</v>
      </c>
      <c r="Z10" s="28">
        <v>3.68</v>
      </c>
      <c r="AA10" s="29">
        <v>1</v>
      </c>
      <c r="AB10" s="30">
        <f t="shared" si="0"/>
        <v>57.92</v>
      </c>
      <c r="AC10" s="29">
        <f t="shared" si="1"/>
        <v>12</v>
      </c>
    </row>
    <row r="11" spans="1:29" s="24" customFormat="1" ht="25.5" customHeight="1" x14ac:dyDescent="0.15">
      <c r="A11" s="54" t="s">
        <v>22</v>
      </c>
      <c r="B11" s="28">
        <f>5.26+3.82</f>
        <v>9.08</v>
      </c>
      <c r="C11" s="29">
        <v>2</v>
      </c>
      <c r="D11" s="28">
        <v>4.9000000000000004</v>
      </c>
      <c r="E11" s="29">
        <v>1</v>
      </c>
      <c r="F11" s="28">
        <f>6.48+3.24</f>
        <v>9.7200000000000006</v>
      </c>
      <c r="G11" s="29">
        <v>2</v>
      </c>
      <c r="H11" s="28">
        <v>0</v>
      </c>
      <c r="I11" s="29">
        <v>0</v>
      </c>
      <c r="J11" s="28">
        <v>0</v>
      </c>
      <c r="K11" s="29">
        <v>0</v>
      </c>
      <c r="L11" s="28">
        <v>0</v>
      </c>
      <c r="M11" s="29">
        <v>0</v>
      </c>
      <c r="N11" s="28">
        <v>6.02</v>
      </c>
      <c r="O11" s="29">
        <v>1</v>
      </c>
      <c r="P11" s="28">
        <v>5.16</v>
      </c>
      <c r="Q11" s="29">
        <v>1</v>
      </c>
      <c r="R11" s="28">
        <v>7.08</v>
      </c>
      <c r="S11" s="29">
        <v>1</v>
      </c>
      <c r="T11" s="28">
        <v>0</v>
      </c>
      <c r="U11" s="29">
        <v>0</v>
      </c>
      <c r="V11" s="28">
        <f>2.8+2.28</f>
        <v>5.08</v>
      </c>
      <c r="W11" s="29">
        <v>2</v>
      </c>
      <c r="X11" s="28">
        <v>0</v>
      </c>
      <c r="Y11" s="29">
        <v>0</v>
      </c>
      <c r="Z11" s="28">
        <v>3.48</v>
      </c>
      <c r="AA11" s="29">
        <v>1</v>
      </c>
      <c r="AB11" s="30">
        <f t="shared" si="0"/>
        <v>50.52</v>
      </c>
      <c r="AC11" s="29">
        <f t="shared" si="1"/>
        <v>11</v>
      </c>
    </row>
    <row r="12" spans="1:29" s="24" customFormat="1" ht="25.5" customHeight="1" x14ac:dyDescent="0.15">
      <c r="A12" s="54" t="s">
        <v>23</v>
      </c>
      <c r="B12" s="28">
        <f>5.58+2.34</f>
        <v>7.92</v>
      </c>
      <c r="C12" s="29">
        <v>2</v>
      </c>
      <c r="D12" s="28">
        <v>4.18</v>
      </c>
      <c r="E12" s="29">
        <v>1</v>
      </c>
      <c r="F12" s="28">
        <v>5.66</v>
      </c>
      <c r="G12" s="29">
        <v>1</v>
      </c>
      <c r="H12" s="28">
        <v>0</v>
      </c>
      <c r="I12" s="29">
        <v>0</v>
      </c>
      <c r="J12" s="28">
        <v>0</v>
      </c>
      <c r="K12" s="29">
        <v>0</v>
      </c>
      <c r="L12" s="28">
        <v>8.9</v>
      </c>
      <c r="M12" s="29">
        <v>1</v>
      </c>
      <c r="N12" s="28">
        <v>6.3</v>
      </c>
      <c r="O12" s="29">
        <v>1</v>
      </c>
      <c r="P12" s="28">
        <v>4.6399999999999997</v>
      </c>
      <c r="Q12" s="29">
        <v>1</v>
      </c>
      <c r="R12" s="28">
        <v>5.12</v>
      </c>
      <c r="S12" s="29">
        <v>1</v>
      </c>
      <c r="T12" s="28">
        <v>0</v>
      </c>
      <c r="U12" s="29">
        <v>0</v>
      </c>
      <c r="V12" s="28">
        <f>2.54+2.7</f>
        <v>5.24</v>
      </c>
      <c r="W12" s="29">
        <v>2</v>
      </c>
      <c r="X12" s="28">
        <v>5.28</v>
      </c>
      <c r="Y12" s="29">
        <v>1</v>
      </c>
      <c r="Z12" s="28">
        <v>4.5599999999999996</v>
      </c>
      <c r="AA12" s="29">
        <v>1</v>
      </c>
      <c r="AB12" s="30">
        <f t="shared" si="0"/>
        <v>57.8</v>
      </c>
      <c r="AC12" s="29">
        <f t="shared" si="1"/>
        <v>12</v>
      </c>
    </row>
    <row r="13" spans="1:29" s="24" customFormat="1" ht="25.5" customHeight="1" x14ac:dyDescent="0.15">
      <c r="A13" s="54" t="s">
        <v>24</v>
      </c>
      <c r="B13" s="28">
        <f>6.36+5.12</f>
        <v>11.48</v>
      </c>
      <c r="C13" s="29">
        <v>2</v>
      </c>
      <c r="D13" s="28">
        <v>0</v>
      </c>
      <c r="E13" s="29">
        <v>0</v>
      </c>
      <c r="F13" s="28">
        <v>6.3</v>
      </c>
      <c r="G13" s="29">
        <v>1</v>
      </c>
      <c r="H13" s="28">
        <v>0</v>
      </c>
      <c r="I13" s="29">
        <v>0</v>
      </c>
      <c r="J13" s="28">
        <v>0</v>
      </c>
      <c r="K13" s="29">
        <v>0</v>
      </c>
      <c r="L13" s="28">
        <v>0</v>
      </c>
      <c r="M13" s="29">
        <v>0</v>
      </c>
      <c r="N13" s="28">
        <v>6.02</v>
      </c>
      <c r="O13" s="29">
        <v>1</v>
      </c>
      <c r="P13" s="28">
        <v>6.16</v>
      </c>
      <c r="Q13" s="29">
        <v>1</v>
      </c>
      <c r="R13" s="28">
        <v>6.84</v>
      </c>
      <c r="S13" s="29">
        <v>1</v>
      </c>
      <c r="T13" s="28">
        <v>0</v>
      </c>
      <c r="U13" s="29">
        <v>0</v>
      </c>
      <c r="V13" s="28">
        <v>3.16</v>
      </c>
      <c r="W13" s="29">
        <v>1</v>
      </c>
      <c r="X13" s="28">
        <v>0</v>
      </c>
      <c r="Y13" s="29">
        <v>0</v>
      </c>
      <c r="Z13" s="28">
        <v>2.98</v>
      </c>
      <c r="AA13" s="29">
        <v>1</v>
      </c>
      <c r="AB13" s="30">
        <f t="shared" si="0"/>
        <v>42.94</v>
      </c>
      <c r="AC13" s="29">
        <f t="shared" si="1"/>
        <v>8</v>
      </c>
    </row>
    <row r="14" spans="1:29" s="24" customFormat="1" ht="25.5" customHeight="1" x14ac:dyDescent="0.15">
      <c r="A14" s="54" t="s">
        <v>25</v>
      </c>
      <c r="B14" s="28">
        <f>6.6+5.44</f>
        <v>12.04</v>
      </c>
      <c r="C14" s="29">
        <v>2</v>
      </c>
      <c r="D14" s="28">
        <v>9.1</v>
      </c>
      <c r="E14" s="29">
        <v>1</v>
      </c>
      <c r="F14" s="28">
        <v>4.5599999999999996</v>
      </c>
      <c r="G14" s="29">
        <v>1</v>
      </c>
      <c r="H14" s="28">
        <v>0</v>
      </c>
      <c r="I14" s="29">
        <v>0</v>
      </c>
      <c r="J14" s="28">
        <v>0</v>
      </c>
      <c r="K14" s="29">
        <v>0</v>
      </c>
      <c r="L14" s="28">
        <v>0</v>
      </c>
      <c r="M14" s="29">
        <v>0</v>
      </c>
      <c r="N14" s="28">
        <v>5.36</v>
      </c>
      <c r="O14" s="29">
        <v>1</v>
      </c>
      <c r="P14" s="28">
        <v>0</v>
      </c>
      <c r="Q14" s="29">
        <v>0</v>
      </c>
      <c r="R14" s="28">
        <v>6.34</v>
      </c>
      <c r="S14" s="29">
        <v>1</v>
      </c>
      <c r="T14" s="28">
        <v>0</v>
      </c>
      <c r="U14" s="29">
        <v>0</v>
      </c>
      <c r="V14" s="28">
        <v>3.96</v>
      </c>
      <c r="W14" s="29">
        <v>1</v>
      </c>
      <c r="X14" s="28">
        <v>3.6</v>
      </c>
      <c r="Y14" s="29">
        <v>1</v>
      </c>
      <c r="Z14" s="28">
        <v>3.62</v>
      </c>
      <c r="AA14" s="29">
        <v>1</v>
      </c>
      <c r="AB14" s="30">
        <f t="shared" si="0"/>
        <v>48.58</v>
      </c>
      <c r="AC14" s="29">
        <f t="shared" si="1"/>
        <v>9</v>
      </c>
    </row>
    <row r="15" spans="1:29" s="24" customFormat="1" ht="25.5" customHeight="1" x14ac:dyDescent="0.15">
      <c r="A15" s="54" t="s">
        <v>26</v>
      </c>
      <c r="B15" s="28">
        <f>5.84+4.38</f>
        <v>10.220000000000001</v>
      </c>
      <c r="C15" s="29">
        <v>2</v>
      </c>
      <c r="D15" s="28">
        <v>4.84</v>
      </c>
      <c r="E15" s="29">
        <v>1</v>
      </c>
      <c r="F15" s="28">
        <v>4.0599999999999996</v>
      </c>
      <c r="G15" s="29">
        <v>1</v>
      </c>
      <c r="H15" s="28">
        <v>5.98</v>
      </c>
      <c r="I15" s="29">
        <v>1</v>
      </c>
      <c r="J15" s="28">
        <v>0</v>
      </c>
      <c r="K15" s="29">
        <v>0</v>
      </c>
      <c r="L15" s="28">
        <v>0</v>
      </c>
      <c r="M15" s="29">
        <v>0</v>
      </c>
      <c r="N15" s="28">
        <v>5.7</v>
      </c>
      <c r="O15" s="29">
        <v>1</v>
      </c>
      <c r="P15" s="28">
        <v>5.88</v>
      </c>
      <c r="Q15" s="29">
        <v>1</v>
      </c>
      <c r="R15" s="28">
        <v>6.12</v>
      </c>
      <c r="S15" s="29">
        <v>1</v>
      </c>
      <c r="T15" s="28">
        <v>0</v>
      </c>
      <c r="U15" s="29">
        <v>0</v>
      </c>
      <c r="V15" s="28">
        <v>1.78</v>
      </c>
      <c r="W15" s="29">
        <v>1</v>
      </c>
      <c r="X15" s="28">
        <v>0</v>
      </c>
      <c r="Y15" s="29">
        <v>0</v>
      </c>
      <c r="Z15" s="28">
        <v>4.58</v>
      </c>
      <c r="AA15" s="29">
        <v>1</v>
      </c>
      <c r="AB15" s="30">
        <f t="shared" si="0"/>
        <v>49.16</v>
      </c>
      <c r="AC15" s="29">
        <f t="shared" si="1"/>
        <v>10</v>
      </c>
    </row>
    <row r="16" spans="1:29" s="24" customFormat="1" ht="25.5" customHeight="1" x14ac:dyDescent="0.15">
      <c r="A16" s="54" t="s">
        <v>27</v>
      </c>
      <c r="B16" s="28">
        <f>4.32+3.64</f>
        <v>7.96</v>
      </c>
      <c r="C16" s="29">
        <v>2</v>
      </c>
      <c r="D16" s="28">
        <v>4.3</v>
      </c>
      <c r="E16" s="29">
        <v>1</v>
      </c>
      <c r="F16" s="28">
        <f>2.78+4.4</f>
        <v>7.18</v>
      </c>
      <c r="G16" s="29">
        <v>2</v>
      </c>
      <c r="H16" s="28">
        <v>0</v>
      </c>
      <c r="I16" s="29">
        <v>0</v>
      </c>
      <c r="J16" s="28">
        <v>0</v>
      </c>
      <c r="K16" s="29">
        <v>0</v>
      </c>
      <c r="L16" s="28">
        <v>0</v>
      </c>
      <c r="M16" s="29">
        <v>0</v>
      </c>
      <c r="N16" s="28">
        <v>4.88</v>
      </c>
      <c r="O16" s="29">
        <v>1</v>
      </c>
      <c r="P16" s="28">
        <v>5.4</v>
      </c>
      <c r="Q16" s="29">
        <v>1</v>
      </c>
      <c r="R16" s="28">
        <v>4.0199999999999996</v>
      </c>
      <c r="S16" s="29">
        <v>1</v>
      </c>
      <c r="T16" s="28">
        <v>0</v>
      </c>
      <c r="U16" s="29">
        <v>0</v>
      </c>
      <c r="V16" s="28">
        <f>2.84+3.48</f>
        <v>6.32</v>
      </c>
      <c r="W16" s="29">
        <v>2</v>
      </c>
      <c r="X16" s="28">
        <v>0</v>
      </c>
      <c r="Y16" s="29">
        <v>0</v>
      </c>
      <c r="Z16" s="28">
        <v>4.46</v>
      </c>
      <c r="AA16" s="29">
        <v>1</v>
      </c>
      <c r="AB16" s="30">
        <f t="shared" si="0"/>
        <v>44.52</v>
      </c>
      <c r="AC16" s="29">
        <f t="shared" si="1"/>
        <v>11</v>
      </c>
    </row>
    <row r="17" spans="1:29" s="24" customFormat="1" ht="25.5" customHeight="1" x14ac:dyDescent="0.15">
      <c r="A17" s="54" t="s">
        <v>28</v>
      </c>
      <c r="B17" s="28">
        <f>5.46+2.32</f>
        <v>7.78</v>
      </c>
      <c r="C17" s="29">
        <v>2</v>
      </c>
      <c r="D17" s="28">
        <v>3.98</v>
      </c>
      <c r="E17" s="29">
        <v>1</v>
      </c>
      <c r="F17" s="28">
        <v>5.84</v>
      </c>
      <c r="G17" s="29">
        <v>1</v>
      </c>
      <c r="H17" s="28">
        <v>0</v>
      </c>
      <c r="I17" s="29">
        <v>0</v>
      </c>
      <c r="J17" s="28">
        <v>0</v>
      </c>
      <c r="K17" s="29">
        <v>0</v>
      </c>
      <c r="L17" s="28">
        <v>0</v>
      </c>
      <c r="M17" s="29">
        <v>0</v>
      </c>
      <c r="N17" s="28">
        <v>5.54</v>
      </c>
      <c r="O17" s="29">
        <v>1</v>
      </c>
      <c r="P17" s="28">
        <v>0</v>
      </c>
      <c r="Q17" s="29">
        <v>0</v>
      </c>
      <c r="R17" s="28">
        <v>6.9</v>
      </c>
      <c r="S17" s="29">
        <v>1</v>
      </c>
      <c r="T17" s="28">
        <v>0</v>
      </c>
      <c r="U17" s="29">
        <v>0</v>
      </c>
      <c r="V17" s="28">
        <f>2.94+3.14</f>
        <v>6.08</v>
      </c>
      <c r="W17" s="29">
        <v>2</v>
      </c>
      <c r="X17" s="28">
        <v>0</v>
      </c>
      <c r="Y17" s="29">
        <v>0</v>
      </c>
      <c r="Z17" s="28">
        <v>4.34</v>
      </c>
      <c r="AA17" s="29">
        <v>1</v>
      </c>
      <c r="AB17" s="30">
        <f t="shared" si="0"/>
        <v>40.46</v>
      </c>
      <c r="AC17" s="29">
        <f t="shared" si="1"/>
        <v>9</v>
      </c>
    </row>
    <row r="18" spans="1:29" s="24" customFormat="1" ht="25.5" customHeight="1" x14ac:dyDescent="0.15">
      <c r="A18" s="54" t="s">
        <v>29</v>
      </c>
      <c r="B18" s="28">
        <f>5.94+2.38</f>
        <v>8.32</v>
      </c>
      <c r="C18" s="29">
        <v>2</v>
      </c>
      <c r="D18" s="28">
        <v>4.4000000000000004</v>
      </c>
      <c r="E18" s="29">
        <v>1</v>
      </c>
      <c r="F18" s="28">
        <f>5.6+2.58</f>
        <v>8.18</v>
      </c>
      <c r="G18" s="29">
        <v>2</v>
      </c>
      <c r="H18" s="28">
        <v>0</v>
      </c>
      <c r="I18" s="29">
        <v>0</v>
      </c>
      <c r="J18" s="28">
        <v>0</v>
      </c>
      <c r="K18" s="29">
        <v>0</v>
      </c>
      <c r="L18" s="28">
        <v>9.24</v>
      </c>
      <c r="M18" s="29">
        <v>1</v>
      </c>
      <c r="N18" s="28">
        <v>6.12</v>
      </c>
      <c r="O18" s="29">
        <v>1</v>
      </c>
      <c r="P18" s="28">
        <v>5.5</v>
      </c>
      <c r="Q18" s="29">
        <v>1</v>
      </c>
      <c r="R18" s="28">
        <v>6.4</v>
      </c>
      <c r="S18" s="29">
        <v>1</v>
      </c>
      <c r="T18" s="28">
        <v>0</v>
      </c>
      <c r="U18" s="29">
        <v>0</v>
      </c>
      <c r="V18" s="28">
        <f>2.7+2.96</f>
        <v>5.66</v>
      </c>
      <c r="W18" s="29">
        <v>2</v>
      </c>
      <c r="X18" s="28">
        <v>5.5</v>
      </c>
      <c r="Y18" s="29">
        <v>1</v>
      </c>
      <c r="Z18" s="28">
        <v>3.06</v>
      </c>
      <c r="AA18" s="29">
        <v>1</v>
      </c>
      <c r="AB18" s="30">
        <f t="shared" si="0"/>
        <v>62.38</v>
      </c>
      <c r="AC18" s="29">
        <f t="shared" si="1"/>
        <v>13</v>
      </c>
    </row>
    <row r="19" spans="1:29" s="24" customFormat="1" ht="25.5" customHeight="1" x14ac:dyDescent="0.15">
      <c r="A19" s="54" t="s">
        <v>30</v>
      </c>
      <c r="B19" s="28">
        <f>5.16+2.42</f>
        <v>7.58</v>
      </c>
      <c r="C19" s="29">
        <v>2</v>
      </c>
      <c r="D19" s="28">
        <v>3.7</v>
      </c>
      <c r="E19" s="29">
        <v>1</v>
      </c>
      <c r="F19" s="28">
        <f>5.6</f>
        <v>5.6</v>
      </c>
      <c r="G19" s="29">
        <v>1</v>
      </c>
      <c r="H19" s="28">
        <v>6.04</v>
      </c>
      <c r="I19" s="29">
        <v>1</v>
      </c>
      <c r="J19" s="28">
        <v>0</v>
      </c>
      <c r="K19" s="29">
        <v>0</v>
      </c>
      <c r="L19" s="28">
        <v>0</v>
      </c>
      <c r="M19" s="29">
        <v>0</v>
      </c>
      <c r="N19" s="28">
        <v>6.32</v>
      </c>
      <c r="O19" s="29">
        <v>1</v>
      </c>
      <c r="P19" s="28">
        <v>5.28</v>
      </c>
      <c r="Q19" s="29">
        <v>1</v>
      </c>
      <c r="R19" s="28">
        <v>6.62</v>
      </c>
      <c r="S19" s="29">
        <v>1</v>
      </c>
      <c r="T19" s="28">
        <v>0</v>
      </c>
      <c r="U19" s="29">
        <v>0</v>
      </c>
      <c r="V19" s="28">
        <f>2.62+2.7</f>
        <v>5.32</v>
      </c>
      <c r="W19" s="29">
        <v>2</v>
      </c>
      <c r="X19" s="28">
        <v>0</v>
      </c>
      <c r="Y19" s="29">
        <v>0</v>
      </c>
      <c r="Z19" s="28">
        <v>3.22</v>
      </c>
      <c r="AA19" s="29">
        <v>1</v>
      </c>
      <c r="AB19" s="30">
        <f t="shared" si="0"/>
        <v>49.68</v>
      </c>
      <c r="AC19" s="29">
        <f t="shared" si="1"/>
        <v>11</v>
      </c>
    </row>
    <row r="20" spans="1:29" s="24" customFormat="1" ht="25.5" customHeight="1" x14ac:dyDescent="0.15">
      <c r="A20" s="54" t="s">
        <v>31</v>
      </c>
      <c r="B20" s="28">
        <f>6.14+2.94</f>
        <v>9.08</v>
      </c>
      <c r="C20" s="29">
        <v>2</v>
      </c>
      <c r="D20" s="28">
        <v>0</v>
      </c>
      <c r="E20" s="29">
        <v>0</v>
      </c>
      <c r="F20" s="28">
        <v>5.56</v>
      </c>
      <c r="G20" s="29">
        <v>1</v>
      </c>
      <c r="H20" s="28">
        <v>0</v>
      </c>
      <c r="I20" s="29">
        <v>0</v>
      </c>
      <c r="J20" s="28">
        <v>0</v>
      </c>
      <c r="K20" s="29">
        <v>0</v>
      </c>
      <c r="L20" s="28">
        <v>0</v>
      </c>
      <c r="M20" s="29">
        <v>0</v>
      </c>
      <c r="N20" s="28">
        <v>5.92</v>
      </c>
      <c r="O20" s="29">
        <v>1</v>
      </c>
      <c r="P20" s="28">
        <v>5.18</v>
      </c>
      <c r="Q20" s="29">
        <v>1</v>
      </c>
      <c r="R20" s="28">
        <v>5.58</v>
      </c>
      <c r="S20" s="29">
        <v>1</v>
      </c>
      <c r="T20" s="28">
        <v>0</v>
      </c>
      <c r="U20" s="29">
        <v>0</v>
      </c>
      <c r="V20" s="28">
        <v>3.1</v>
      </c>
      <c r="W20" s="29">
        <v>1</v>
      </c>
      <c r="X20" s="28">
        <v>5.86</v>
      </c>
      <c r="Y20" s="29">
        <v>1</v>
      </c>
      <c r="Z20" s="28">
        <v>3.84</v>
      </c>
      <c r="AA20" s="29">
        <v>1</v>
      </c>
      <c r="AB20" s="30">
        <f t="shared" si="0"/>
        <v>44.12</v>
      </c>
      <c r="AC20" s="29">
        <f t="shared" si="1"/>
        <v>9</v>
      </c>
    </row>
    <row r="21" spans="1:29" s="24" customFormat="1" ht="25.5" customHeight="1" x14ac:dyDescent="0.15">
      <c r="A21" s="54" t="s">
        <v>32</v>
      </c>
      <c r="B21" s="28">
        <f>6.24+5.04</f>
        <v>11.28</v>
      </c>
      <c r="C21" s="29">
        <v>2</v>
      </c>
      <c r="D21" s="28">
        <v>4.3</v>
      </c>
      <c r="E21" s="29">
        <v>1</v>
      </c>
      <c r="F21" s="28">
        <v>5.42</v>
      </c>
      <c r="G21" s="29">
        <v>1</v>
      </c>
      <c r="H21" s="28">
        <v>0</v>
      </c>
      <c r="I21" s="29">
        <v>0</v>
      </c>
      <c r="J21" s="28">
        <v>0</v>
      </c>
      <c r="K21" s="29">
        <v>0</v>
      </c>
      <c r="L21" s="28">
        <v>7.52</v>
      </c>
      <c r="M21" s="29">
        <v>1</v>
      </c>
      <c r="N21" s="28">
        <v>0</v>
      </c>
      <c r="O21" s="29">
        <v>0</v>
      </c>
      <c r="P21" s="28">
        <v>5.56</v>
      </c>
      <c r="Q21" s="29">
        <v>1</v>
      </c>
      <c r="R21" s="28">
        <v>5.84</v>
      </c>
      <c r="S21" s="29">
        <v>1</v>
      </c>
      <c r="T21" s="28">
        <v>0</v>
      </c>
      <c r="U21" s="29">
        <v>0</v>
      </c>
      <c r="V21" s="28">
        <v>3.08</v>
      </c>
      <c r="W21" s="29">
        <v>1</v>
      </c>
      <c r="X21" s="28">
        <v>2.5</v>
      </c>
      <c r="Y21" s="29">
        <v>1</v>
      </c>
      <c r="Z21" s="28">
        <v>2.98</v>
      </c>
      <c r="AA21" s="29">
        <v>1</v>
      </c>
      <c r="AB21" s="30">
        <f t="shared" si="0"/>
        <v>48.48</v>
      </c>
      <c r="AC21" s="29">
        <f t="shared" si="1"/>
        <v>10</v>
      </c>
    </row>
    <row r="22" spans="1:29" s="24" customFormat="1" ht="25.5" customHeight="1" x14ac:dyDescent="0.15">
      <c r="A22" s="54" t="s">
        <v>33</v>
      </c>
      <c r="B22" s="28">
        <f>6.06+4.24</f>
        <v>10.3</v>
      </c>
      <c r="C22" s="29">
        <v>2</v>
      </c>
      <c r="D22" s="28">
        <v>7.16</v>
      </c>
      <c r="E22" s="29">
        <v>1</v>
      </c>
      <c r="F22" s="28">
        <v>4.4400000000000004</v>
      </c>
      <c r="G22" s="29">
        <v>1</v>
      </c>
      <c r="H22" s="28">
        <v>0</v>
      </c>
      <c r="I22" s="29">
        <v>0</v>
      </c>
      <c r="J22" s="28">
        <v>0</v>
      </c>
      <c r="K22" s="29">
        <v>0</v>
      </c>
      <c r="L22" s="28">
        <v>0</v>
      </c>
      <c r="M22" s="29">
        <v>0</v>
      </c>
      <c r="N22" s="28">
        <v>5.4</v>
      </c>
      <c r="O22" s="29">
        <v>1</v>
      </c>
      <c r="P22" s="28">
        <v>4.8</v>
      </c>
      <c r="Q22" s="29">
        <v>1</v>
      </c>
      <c r="R22" s="28">
        <v>4.9800000000000004</v>
      </c>
      <c r="S22" s="29">
        <v>1</v>
      </c>
      <c r="T22" s="28">
        <v>0</v>
      </c>
      <c r="U22" s="29">
        <v>0</v>
      </c>
      <c r="V22" s="28">
        <v>2.78</v>
      </c>
      <c r="W22" s="29">
        <v>1</v>
      </c>
      <c r="X22" s="28">
        <v>0</v>
      </c>
      <c r="Y22" s="29">
        <v>0</v>
      </c>
      <c r="Z22" s="28">
        <v>4.24</v>
      </c>
      <c r="AA22" s="29">
        <v>1</v>
      </c>
      <c r="AB22" s="30">
        <f t="shared" si="0"/>
        <v>44.1</v>
      </c>
      <c r="AC22" s="29">
        <f t="shared" si="1"/>
        <v>9</v>
      </c>
    </row>
    <row r="23" spans="1:29" s="24" customFormat="1" ht="25.5" customHeight="1" x14ac:dyDescent="0.15">
      <c r="A23" s="54" t="s">
        <v>34</v>
      </c>
      <c r="B23" s="28">
        <f>5.4+2.66</f>
        <v>8.06</v>
      </c>
      <c r="C23" s="29">
        <v>2</v>
      </c>
      <c r="D23" s="28">
        <v>0</v>
      </c>
      <c r="E23" s="29">
        <v>0</v>
      </c>
      <c r="F23" s="28">
        <f>4.52+2.62</f>
        <v>7.14</v>
      </c>
      <c r="G23" s="29">
        <v>2</v>
      </c>
      <c r="H23" s="28">
        <v>5.76</v>
      </c>
      <c r="I23" s="29">
        <v>1</v>
      </c>
      <c r="J23" s="28">
        <v>0</v>
      </c>
      <c r="K23" s="29">
        <v>0</v>
      </c>
      <c r="L23" s="28">
        <v>0</v>
      </c>
      <c r="M23" s="29">
        <v>0</v>
      </c>
      <c r="N23" s="28">
        <v>5.58</v>
      </c>
      <c r="O23" s="29">
        <v>1</v>
      </c>
      <c r="P23" s="28">
        <v>5.72</v>
      </c>
      <c r="Q23" s="29">
        <v>1</v>
      </c>
      <c r="R23" s="28">
        <v>5.76</v>
      </c>
      <c r="S23" s="29">
        <v>1</v>
      </c>
      <c r="T23" s="28">
        <v>0</v>
      </c>
      <c r="U23" s="29">
        <v>0</v>
      </c>
      <c r="V23" s="28">
        <f>2.96+3.78</f>
        <v>6.74</v>
      </c>
      <c r="W23" s="29">
        <v>2</v>
      </c>
      <c r="X23" s="28">
        <v>0</v>
      </c>
      <c r="Y23" s="29">
        <v>0</v>
      </c>
      <c r="Z23" s="28">
        <v>4.26</v>
      </c>
      <c r="AA23" s="29">
        <v>1</v>
      </c>
      <c r="AB23" s="30">
        <f t="shared" si="0"/>
        <v>49.02</v>
      </c>
      <c r="AC23" s="29">
        <f t="shared" si="1"/>
        <v>11</v>
      </c>
    </row>
    <row r="24" spans="1:29" s="24" customFormat="1" ht="25.5" customHeight="1" x14ac:dyDescent="0.15">
      <c r="A24" s="54" t="s">
        <v>35</v>
      </c>
      <c r="B24" s="28">
        <v>6.22</v>
      </c>
      <c r="C24" s="29">
        <v>1</v>
      </c>
      <c r="D24" s="28">
        <v>8.08</v>
      </c>
      <c r="E24" s="29">
        <v>1</v>
      </c>
      <c r="F24" s="28">
        <v>5.64</v>
      </c>
      <c r="G24" s="29">
        <v>1</v>
      </c>
      <c r="H24" s="28">
        <v>0</v>
      </c>
      <c r="I24" s="29">
        <v>0</v>
      </c>
      <c r="J24" s="28">
        <v>0</v>
      </c>
      <c r="K24" s="29">
        <v>0</v>
      </c>
      <c r="L24" s="28">
        <v>0</v>
      </c>
      <c r="M24" s="29">
        <v>0</v>
      </c>
      <c r="N24" s="28">
        <v>6.44</v>
      </c>
      <c r="O24" s="29">
        <v>1</v>
      </c>
      <c r="P24" s="28">
        <v>5.26</v>
      </c>
      <c r="Q24" s="29">
        <v>1</v>
      </c>
      <c r="R24" s="28">
        <v>6.6</v>
      </c>
      <c r="S24" s="29">
        <v>1</v>
      </c>
      <c r="T24" s="28">
        <v>0</v>
      </c>
      <c r="U24" s="29">
        <v>0</v>
      </c>
      <c r="V24" s="28">
        <f>2.68+2.26</f>
        <v>4.9400000000000004</v>
      </c>
      <c r="W24" s="29">
        <v>2</v>
      </c>
      <c r="X24" s="28">
        <v>4.58</v>
      </c>
      <c r="Y24" s="29">
        <v>1</v>
      </c>
      <c r="Z24" s="28">
        <v>4.34</v>
      </c>
      <c r="AA24" s="29">
        <v>1</v>
      </c>
      <c r="AB24" s="30">
        <f t="shared" si="0"/>
        <v>52.1</v>
      </c>
      <c r="AC24" s="29">
        <f t="shared" si="1"/>
        <v>10</v>
      </c>
    </row>
    <row r="25" spans="1:29" s="24" customFormat="1" ht="25.5" customHeight="1" x14ac:dyDescent="0.15">
      <c r="A25" s="54" t="s">
        <v>36</v>
      </c>
      <c r="B25" s="28">
        <f>5.94+3.52</f>
        <v>9.4600000000000009</v>
      </c>
      <c r="C25" s="29">
        <v>2</v>
      </c>
      <c r="D25" s="28">
        <v>4.58</v>
      </c>
      <c r="E25" s="29">
        <v>1</v>
      </c>
      <c r="F25" s="28">
        <f>5.8+2.82</f>
        <v>8.6199999999999992</v>
      </c>
      <c r="G25" s="29">
        <v>2</v>
      </c>
      <c r="H25" s="28">
        <v>0</v>
      </c>
      <c r="I25" s="29">
        <v>0</v>
      </c>
      <c r="J25" s="28">
        <v>0</v>
      </c>
      <c r="K25" s="29">
        <v>0</v>
      </c>
      <c r="L25" s="28">
        <v>9.3000000000000007</v>
      </c>
      <c r="M25" s="29">
        <v>1</v>
      </c>
      <c r="N25" s="28">
        <v>6.58</v>
      </c>
      <c r="O25" s="29">
        <v>1</v>
      </c>
      <c r="P25" s="28">
        <v>5.66</v>
      </c>
      <c r="Q25" s="29">
        <v>1</v>
      </c>
      <c r="R25" s="28">
        <v>5.84</v>
      </c>
      <c r="S25" s="29">
        <v>1</v>
      </c>
      <c r="T25" s="28">
        <v>0</v>
      </c>
      <c r="U25" s="29">
        <v>0</v>
      </c>
      <c r="V25" s="28">
        <f>2.82+2.48</f>
        <v>5.3</v>
      </c>
      <c r="W25" s="29">
        <v>2</v>
      </c>
      <c r="X25" s="28">
        <v>0</v>
      </c>
      <c r="Y25" s="29">
        <v>0</v>
      </c>
      <c r="Z25" s="28">
        <v>4.0199999999999996</v>
      </c>
      <c r="AA25" s="29">
        <v>1</v>
      </c>
      <c r="AB25" s="30">
        <f t="shared" si="0"/>
        <v>59.36</v>
      </c>
      <c r="AC25" s="29">
        <f t="shared" si="1"/>
        <v>12</v>
      </c>
    </row>
    <row r="26" spans="1:29" s="24" customFormat="1" ht="25.5" customHeight="1" x14ac:dyDescent="0.15">
      <c r="A26" s="54" t="s">
        <v>37</v>
      </c>
      <c r="B26" s="28">
        <f>5.18+2.36</f>
        <v>7.54</v>
      </c>
      <c r="C26" s="29">
        <v>2</v>
      </c>
      <c r="D26" s="28">
        <v>3.64</v>
      </c>
      <c r="E26" s="29">
        <v>1</v>
      </c>
      <c r="F26" s="28">
        <v>5.6</v>
      </c>
      <c r="G26" s="29">
        <v>1</v>
      </c>
      <c r="H26" s="28">
        <v>0</v>
      </c>
      <c r="I26" s="29">
        <v>0</v>
      </c>
      <c r="J26" s="28">
        <v>0</v>
      </c>
      <c r="K26" s="29">
        <v>0</v>
      </c>
      <c r="L26" s="28">
        <v>0</v>
      </c>
      <c r="M26" s="29">
        <v>0</v>
      </c>
      <c r="N26" s="28">
        <v>5.92</v>
      </c>
      <c r="O26" s="29">
        <v>1</v>
      </c>
      <c r="P26" s="28">
        <v>0</v>
      </c>
      <c r="Q26" s="29">
        <v>0</v>
      </c>
      <c r="R26" s="28">
        <v>7.04</v>
      </c>
      <c r="S26" s="29">
        <v>1</v>
      </c>
      <c r="T26" s="28">
        <v>0</v>
      </c>
      <c r="U26" s="29">
        <v>0</v>
      </c>
      <c r="V26" s="28">
        <f>3.06+2.76</f>
        <v>5.82</v>
      </c>
      <c r="W26" s="29">
        <v>2</v>
      </c>
      <c r="X26" s="28">
        <v>6.44</v>
      </c>
      <c r="Y26" s="29">
        <v>1</v>
      </c>
      <c r="Z26" s="28">
        <v>3.7</v>
      </c>
      <c r="AA26" s="29">
        <v>1</v>
      </c>
      <c r="AB26" s="30">
        <f t="shared" si="0"/>
        <v>45.7</v>
      </c>
      <c r="AC26" s="29">
        <f t="shared" si="1"/>
        <v>10</v>
      </c>
    </row>
    <row r="27" spans="1:29" s="24" customFormat="1" ht="25.5" customHeight="1" x14ac:dyDescent="0.15">
      <c r="A27" s="54" t="s">
        <v>38</v>
      </c>
      <c r="B27" s="28">
        <f>5.9+3.02</f>
        <v>8.92</v>
      </c>
      <c r="C27" s="29">
        <v>2</v>
      </c>
      <c r="D27" s="28">
        <v>0</v>
      </c>
      <c r="E27" s="29">
        <v>0</v>
      </c>
      <c r="F27" s="28">
        <v>6.34</v>
      </c>
      <c r="G27" s="29">
        <v>1</v>
      </c>
      <c r="H27" s="28">
        <v>0</v>
      </c>
      <c r="I27" s="29">
        <v>0</v>
      </c>
      <c r="J27" s="28">
        <v>0</v>
      </c>
      <c r="K27" s="29">
        <v>0</v>
      </c>
      <c r="L27" s="28">
        <v>0</v>
      </c>
      <c r="M27" s="29">
        <v>0</v>
      </c>
      <c r="N27" s="28">
        <v>6.26</v>
      </c>
      <c r="O27" s="29">
        <v>1</v>
      </c>
      <c r="P27" s="28">
        <v>5.7</v>
      </c>
      <c r="Q27" s="29">
        <v>1</v>
      </c>
      <c r="R27" s="28">
        <v>6.8</v>
      </c>
      <c r="S27" s="29">
        <v>1</v>
      </c>
      <c r="T27" s="28">
        <v>0</v>
      </c>
      <c r="U27" s="29">
        <v>0</v>
      </c>
      <c r="V27" s="28">
        <v>3.04</v>
      </c>
      <c r="W27" s="29">
        <v>1</v>
      </c>
      <c r="X27" s="28">
        <v>0</v>
      </c>
      <c r="Y27" s="29">
        <v>0</v>
      </c>
      <c r="Z27" s="28">
        <v>4.2</v>
      </c>
      <c r="AA27" s="29">
        <v>1</v>
      </c>
      <c r="AB27" s="30">
        <f t="shared" si="0"/>
        <v>41.26</v>
      </c>
      <c r="AC27" s="29">
        <f t="shared" si="1"/>
        <v>8</v>
      </c>
    </row>
    <row r="28" spans="1:29" s="24" customFormat="1" ht="25.5" customHeight="1" x14ac:dyDescent="0.15">
      <c r="A28" s="54" t="s">
        <v>39</v>
      </c>
      <c r="B28" s="28">
        <f>6.26+3.88</f>
        <v>10.14</v>
      </c>
      <c r="C28" s="29">
        <v>2</v>
      </c>
      <c r="D28" s="28">
        <v>4.54</v>
      </c>
      <c r="E28" s="29">
        <v>1</v>
      </c>
      <c r="F28" s="28">
        <v>0</v>
      </c>
      <c r="G28" s="29">
        <v>0</v>
      </c>
      <c r="H28" s="28">
        <v>0</v>
      </c>
      <c r="I28" s="29">
        <v>0</v>
      </c>
      <c r="J28" s="28">
        <v>0</v>
      </c>
      <c r="K28" s="29">
        <v>0</v>
      </c>
      <c r="L28" s="28">
        <v>0</v>
      </c>
      <c r="M28" s="29">
        <v>0</v>
      </c>
      <c r="N28" s="28">
        <v>5.84</v>
      </c>
      <c r="O28" s="29">
        <v>1</v>
      </c>
      <c r="P28" s="28">
        <v>5.0199999999999996</v>
      </c>
      <c r="Q28" s="29">
        <v>1</v>
      </c>
      <c r="R28" s="28">
        <v>6.58</v>
      </c>
      <c r="S28" s="29">
        <v>1</v>
      </c>
      <c r="T28" s="28">
        <v>0</v>
      </c>
      <c r="U28" s="29">
        <v>0</v>
      </c>
      <c r="V28" s="28">
        <v>3.62</v>
      </c>
      <c r="W28" s="29">
        <v>1</v>
      </c>
      <c r="X28" s="28">
        <v>3.82</v>
      </c>
      <c r="Y28" s="29">
        <v>1</v>
      </c>
      <c r="Z28" s="28">
        <v>3.48</v>
      </c>
      <c r="AA28" s="29">
        <v>1</v>
      </c>
      <c r="AB28" s="30">
        <f t="shared" si="0"/>
        <v>43.04</v>
      </c>
      <c r="AC28" s="29">
        <f t="shared" si="1"/>
        <v>9</v>
      </c>
    </row>
    <row r="29" spans="1:29" s="24" customFormat="1" ht="25.5" customHeight="1" x14ac:dyDescent="0.15">
      <c r="A29" s="54" t="s">
        <v>40</v>
      </c>
      <c r="B29" s="28">
        <f>5.46+4.2</f>
        <v>9.66</v>
      </c>
      <c r="C29" s="29">
        <v>2</v>
      </c>
      <c r="D29" s="28">
        <v>7.1</v>
      </c>
      <c r="E29" s="29">
        <v>1</v>
      </c>
      <c r="F29" s="28">
        <v>0</v>
      </c>
      <c r="G29" s="29">
        <v>0</v>
      </c>
      <c r="H29" s="28">
        <v>0</v>
      </c>
      <c r="I29" s="29">
        <v>0</v>
      </c>
      <c r="J29" s="28">
        <v>0</v>
      </c>
      <c r="K29" s="29">
        <v>0</v>
      </c>
      <c r="L29" s="28">
        <v>0</v>
      </c>
      <c r="M29" s="29">
        <v>0</v>
      </c>
      <c r="N29" s="28">
        <v>5.3</v>
      </c>
      <c r="O29" s="29">
        <v>1</v>
      </c>
      <c r="P29" s="28">
        <v>4.18</v>
      </c>
      <c r="Q29" s="29">
        <v>1</v>
      </c>
      <c r="R29" s="28">
        <v>5.78</v>
      </c>
      <c r="S29" s="29">
        <v>1</v>
      </c>
      <c r="T29" s="28">
        <v>0</v>
      </c>
      <c r="U29" s="29">
        <v>0</v>
      </c>
      <c r="V29" s="28">
        <v>2.94</v>
      </c>
      <c r="W29" s="29">
        <v>1</v>
      </c>
      <c r="X29" s="28">
        <v>0</v>
      </c>
      <c r="Y29" s="29">
        <v>0</v>
      </c>
      <c r="Z29" s="28">
        <v>4</v>
      </c>
      <c r="AA29" s="29">
        <v>1</v>
      </c>
      <c r="AB29" s="30">
        <f t="shared" si="0"/>
        <v>38.96</v>
      </c>
      <c r="AC29" s="29">
        <f t="shared" si="1"/>
        <v>8</v>
      </c>
    </row>
    <row r="30" spans="1:29" s="24" customFormat="1" ht="25.5" customHeight="1" x14ac:dyDescent="0.15">
      <c r="A30" s="54" t="s">
        <v>41</v>
      </c>
      <c r="B30" s="28">
        <f>5.58+2.72</f>
        <v>8.3000000000000007</v>
      </c>
      <c r="C30" s="29">
        <v>2</v>
      </c>
      <c r="D30" s="28">
        <v>4.5199999999999996</v>
      </c>
      <c r="E30" s="29">
        <v>1</v>
      </c>
      <c r="F30" s="28">
        <f>4.74+5.38</f>
        <v>10.119999999999999</v>
      </c>
      <c r="G30" s="29">
        <v>2</v>
      </c>
      <c r="H30" s="28">
        <v>5.18</v>
      </c>
      <c r="I30" s="29">
        <v>1</v>
      </c>
      <c r="J30" s="28">
        <v>0</v>
      </c>
      <c r="K30" s="29">
        <v>0</v>
      </c>
      <c r="L30" s="28">
        <v>10.9</v>
      </c>
      <c r="M30" s="29">
        <v>1</v>
      </c>
      <c r="N30" s="28">
        <v>6</v>
      </c>
      <c r="O30" s="29">
        <v>1</v>
      </c>
      <c r="P30" s="28">
        <v>6.04</v>
      </c>
      <c r="Q30" s="29">
        <v>1</v>
      </c>
      <c r="R30" s="28">
        <v>5.08</v>
      </c>
      <c r="S30" s="29">
        <v>1</v>
      </c>
      <c r="T30" s="28">
        <v>0</v>
      </c>
      <c r="U30" s="29">
        <v>0</v>
      </c>
      <c r="V30" s="28">
        <f>2.58+3.92</f>
        <v>6.5</v>
      </c>
      <c r="W30" s="29">
        <v>2</v>
      </c>
      <c r="X30" s="28">
        <v>0</v>
      </c>
      <c r="Y30" s="29">
        <v>0</v>
      </c>
      <c r="Z30" s="28">
        <v>4.5199999999999996</v>
      </c>
      <c r="AA30" s="29">
        <v>1</v>
      </c>
      <c r="AB30" s="30">
        <f t="shared" si="0"/>
        <v>67.16</v>
      </c>
      <c r="AC30" s="29">
        <f t="shared" si="1"/>
        <v>13</v>
      </c>
    </row>
    <row r="31" spans="1:29" s="24" customFormat="1" ht="25.5" customHeight="1" x14ac:dyDescent="0.15">
      <c r="A31" s="54" t="s">
        <v>42</v>
      </c>
      <c r="B31" s="28">
        <f>5.26+2.28</f>
        <v>7.54</v>
      </c>
      <c r="C31" s="29">
        <v>2</v>
      </c>
      <c r="D31" s="28">
        <v>3.6</v>
      </c>
      <c r="E31" s="29">
        <v>1</v>
      </c>
      <c r="F31" s="28">
        <f>4.94+2.98</f>
        <v>7.92</v>
      </c>
      <c r="G31" s="29">
        <v>2</v>
      </c>
      <c r="H31" s="28">
        <v>0</v>
      </c>
      <c r="I31" s="29">
        <v>0</v>
      </c>
      <c r="J31" s="28">
        <v>0</v>
      </c>
      <c r="K31" s="29">
        <v>0</v>
      </c>
      <c r="L31" s="28">
        <v>0</v>
      </c>
      <c r="M31" s="29">
        <v>0</v>
      </c>
      <c r="N31" s="28">
        <v>5.94</v>
      </c>
      <c r="O31" s="29">
        <v>1</v>
      </c>
      <c r="P31" s="28">
        <v>5.14</v>
      </c>
      <c r="Q31" s="29">
        <v>1</v>
      </c>
      <c r="R31" s="28">
        <v>6.44</v>
      </c>
      <c r="S31" s="29">
        <v>1</v>
      </c>
      <c r="T31" s="28">
        <v>0</v>
      </c>
      <c r="U31" s="29">
        <v>0</v>
      </c>
      <c r="V31" s="28">
        <f>2.48+2.82</f>
        <v>5.3</v>
      </c>
      <c r="W31" s="29">
        <v>2</v>
      </c>
      <c r="X31" s="28">
        <v>5.18</v>
      </c>
      <c r="Y31" s="29">
        <v>1</v>
      </c>
      <c r="Z31" s="28">
        <v>4.24</v>
      </c>
      <c r="AA31" s="29">
        <v>1</v>
      </c>
      <c r="AB31" s="30">
        <f t="shared" si="0"/>
        <v>51.3</v>
      </c>
      <c r="AC31" s="29">
        <f t="shared" si="1"/>
        <v>12</v>
      </c>
    </row>
    <row r="32" spans="1:29" s="24" customFormat="1" ht="25.5" customHeight="1" x14ac:dyDescent="0.15">
      <c r="A32" s="54" t="s">
        <v>43</v>
      </c>
      <c r="B32" s="28">
        <f>6.06+2.18</f>
        <v>8.24</v>
      </c>
      <c r="C32" s="29">
        <v>2</v>
      </c>
      <c r="D32" s="28">
        <v>4.82</v>
      </c>
      <c r="E32" s="29">
        <v>1</v>
      </c>
      <c r="F32" s="28">
        <v>5.72</v>
      </c>
      <c r="G32" s="29">
        <v>1</v>
      </c>
      <c r="H32" s="28">
        <v>0</v>
      </c>
      <c r="I32" s="29">
        <v>0</v>
      </c>
      <c r="J32" s="28">
        <v>0</v>
      </c>
      <c r="K32" s="29">
        <v>0</v>
      </c>
      <c r="L32" s="28">
        <v>0</v>
      </c>
      <c r="M32" s="29">
        <v>0</v>
      </c>
      <c r="N32" s="28">
        <v>6</v>
      </c>
      <c r="O32" s="29">
        <v>1</v>
      </c>
      <c r="P32" s="28">
        <v>5.24</v>
      </c>
      <c r="Q32" s="29">
        <v>1</v>
      </c>
      <c r="R32" s="28">
        <v>7.32</v>
      </c>
      <c r="S32" s="29">
        <v>1</v>
      </c>
      <c r="T32" s="28">
        <v>0</v>
      </c>
      <c r="U32" s="29">
        <v>0</v>
      </c>
      <c r="V32" s="28">
        <f>3.18+2.56</f>
        <v>5.74</v>
      </c>
      <c r="W32" s="29">
        <v>2</v>
      </c>
      <c r="X32" s="28">
        <v>0</v>
      </c>
      <c r="Y32" s="29">
        <v>0</v>
      </c>
      <c r="Z32" s="28">
        <v>4.66</v>
      </c>
      <c r="AA32" s="29">
        <v>1</v>
      </c>
      <c r="AB32" s="30">
        <f t="shared" si="0"/>
        <v>47.74</v>
      </c>
      <c r="AC32" s="29">
        <f t="shared" si="1"/>
        <v>10</v>
      </c>
    </row>
    <row r="33" spans="1:33" s="24" customFormat="1" ht="25.5" customHeight="1" x14ac:dyDescent="0.15">
      <c r="A33" s="54" t="s">
        <v>44</v>
      </c>
      <c r="B33" s="28">
        <f>6.14+2.72</f>
        <v>8.86</v>
      </c>
      <c r="C33" s="29">
        <v>2</v>
      </c>
      <c r="D33" s="28">
        <v>3.46</v>
      </c>
      <c r="E33" s="29">
        <v>1</v>
      </c>
      <c r="F33" s="28">
        <v>6.34</v>
      </c>
      <c r="G33" s="29">
        <v>1</v>
      </c>
      <c r="H33" s="28">
        <v>0</v>
      </c>
      <c r="I33" s="29">
        <v>0</v>
      </c>
      <c r="J33" s="28">
        <v>0</v>
      </c>
      <c r="K33" s="29">
        <v>0</v>
      </c>
      <c r="L33" s="28">
        <v>8</v>
      </c>
      <c r="M33" s="29">
        <v>1</v>
      </c>
      <c r="N33" s="28">
        <v>6.1</v>
      </c>
      <c r="O33" s="29">
        <v>1</v>
      </c>
      <c r="P33" s="28">
        <v>4.96</v>
      </c>
      <c r="Q33" s="29">
        <v>1</v>
      </c>
      <c r="R33" s="28">
        <v>7.48</v>
      </c>
      <c r="S33" s="29">
        <v>1</v>
      </c>
      <c r="T33" s="28">
        <v>0</v>
      </c>
      <c r="U33" s="29">
        <v>0</v>
      </c>
      <c r="V33" s="28">
        <f>2.76+3.32</f>
        <v>6.08</v>
      </c>
      <c r="W33" s="29">
        <v>2</v>
      </c>
      <c r="X33" s="28">
        <v>0</v>
      </c>
      <c r="Y33" s="29">
        <v>0</v>
      </c>
      <c r="Z33" s="28">
        <v>3.7</v>
      </c>
      <c r="AA33" s="29">
        <v>1</v>
      </c>
      <c r="AB33" s="30">
        <f t="shared" si="0"/>
        <v>54.98</v>
      </c>
      <c r="AC33" s="29">
        <f t="shared" si="1"/>
        <v>11</v>
      </c>
    </row>
    <row r="34" spans="1:33" s="24" customFormat="1" ht="25.5" customHeight="1" x14ac:dyDescent="0.15">
      <c r="A34" s="54" t="s">
        <v>45</v>
      </c>
      <c r="B34" s="28">
        <f>6.4+3.08</f>
        <v>9.48</v>
      </c>
      <c r="C34" s="29">
        <v>2</v>
      </c>
      <c r="D34" s="28">
        <v>0</v>
      </c>
      <c r="E34" s="29">
        <v>0</v>
      </c>
      <c r="F34" s="28">
        <v>0</v>
      </c>
      <c r="G34" s="29">
        <v>0</v>
      </c>
      <c r="H34" s="28">
        <v>5.66</v>
      </c>
      <c r="I34" s="29">
        <v>1</v>
      </c>
      <c r="J34" s="28">
        <v>0</v>
      </c>
      <c r="K34" s="29">
        <v>0</v>
      </c>
      <c r="L34" s="28">
        <v>0</v>
      </c>
      <c r="M34" s="29">
        <v>0</v>
      </c>
      <c r="N34" s="28">
        <v>6.06</v>
      </c>
      <c r="O34" s="29">
        <v>1</v>
      </c>
      <c r="P34" s="28">
        <v>0</v>
      </c>
      <c r="Q34" s="29">
        <v>0</v>
      </c>
      <c r="R34" s="28">
        <v>3.66</v>
      </c>
      <c r="S34" s="29">
        <v>1</v>
      </c>
      <c r="T34" s="28">
        <v>0</v>
      </c>
      <c r="U34" s="29">
        <v>0</v>
      </c>
      <c r="V34" s="28">
        <v>2.82</v>
      </c>
      <c r="W34" s="29">
        <v>1</v>
      </c>
      <c r="X34" s="28">
        <v>0</v>
      </c>
      <c r="Y34" s="29">
        <v>0</v>
      </c>
      <c r="Z34" s="28">
        <v>3.5</v>
      </c>
      <c r="AA34" s="29">
        <v>1</v>
      </c>
      <c r="AB34" s="30">
        <f t="shared" si="0"/>
        <v>31.18</v>
      </c>
      <c r="AC34" s="29">
        <f t="shared" si="1"/>
        <v>7</v>
      </c>
    </row>
    <row r="35" spans="1:33" s="24" customFormat="1" ht="24" customHeight="1" x14ac:dyDescent="0.15">
      <c r="A35" s="54" t="s">
        <v>46</v>
      </c>
      <c r="B35" s="28">
        <f>6.3+4.68</f>
        <v>10.98</v>
      </c>
      <c r="C35" s="29">
        <v>2</v>
      </c>
      <c r="D35" s="28">
        <v>4.7</v>
      </c>
      <c r="E35" s="29">
        <v>1</v>
      </c>
      <c r="F35" s="28">
        <f>6.12+5.02</f>
        <v>11.14</v>
      </c>
      <c r="G35" s="29">
        <v>2</v>
      </c>
      <c r="H35" s="28">
        <v>0</v>
      </c>
      <c r="I35" s="29">
        <v>0</v>
      </c>
      <c r="J35" s="28">
        <v>0</v>
      </c>
      <c r="K35" s="29">
        <v>0</v>
      </c>
      <c r="L35" s="28">
        <v>0</v>
      </c>
      <c r="M35" s="29">
        <v>0</v>
      </c>
      <c r="N35" s="28">
        <v>5.54</v>
      </c>
      <c r="O35" s="29">
        <v>1</v>
      </c>
      <c r="P35" s="28">
        <v>6.16</v>
      </c>
      <c r="Q35" s="29">
        <v>1</v>
      </c>
      <c r="R35" s="28">
        <v>5.96</v>
      </c>
      <c r="S35" s="29">
        <v>1</v>
      </c>
      <c r="T35" s="28">
        <v>0</v>
      </c>
      <c r="U35" s="29">
        <v>0</v>
      </c>
      <c r="V35" s="28">
        <v>3.74</v>
      </c>
      <c r="W35" s="29">
        <v>1</v>
      </c>
      <c r="X35" s="28">
        <v>5.0199999999999996</v>
      </c>
      <c r="Y35" s="29">
        <v>1</v>
      </c>
      <c r="Z35" s="28">
        <v>4.34</v>
      </c>
      <c r="AA35" s="29">
        <v>1</v>
      </c>
      <c r="AB35" s="30">
        <f t="shared" si="0"/>
        <v>57.58</v>
      </c>
      <c r="AC35" s="29">
        <f t="shared" si="1"/>
        <v>11</v>
      </c>
    </row>
    <row r="36" spans="1:33" s="24" customFormat="1" ht="25.5" customHeight="1" x14ac:dyDescent="0.15">
      <c r="A36" s="55" t="s">
        <v>13</v>
      </c>
      <c r="B36" s="30">
        <f t="shared" ref="B36:AC36" si="2">SUM(B5:B35)</f>
        <v>278.22000000000003</v>
      </c>
      <c r="C36" s="29">
        <f t="shared" si="2"/>
        <v>62</v>
      </c>
      <c r="D36" s="30">
        <f t="shared" si="2"/>
        <v>122.96</v>
      </c>
      <c r="E36" s="29">
        <f t="shared" si="2"/>
        <v>24</v>
      </c>
      <c r="F36" s="30">
        <f t="shared" si="2"/>
        <v>176.68</v>
      </c>
      <c r="G36" s="29">
        <f t="shared" si="2"/>
        <v>36</v>
      </c>
      <c r="H36" s="30">
        <f t="shared" si="2"/>
        <v>34.42</v>
      </c>
      <c r="I36" s="29">
        <f t="shared" si="2"/>
        <v>6</v>
      </c>
      <c r="J36" s="30">
        <f t="shared" si="2"/>
        <v>0</v>
      </c>
      <c r="K36" s="30">
        <f t="shared" si="2"/>
        <v>0</v>
      </c>
      <c r="L36" s="30">
        <f t="shared" si="2"/>
        <v>53.86</v>
      </c>
      <c r="M36" s="29">
        <f t="shared" si="2"/>
        <v>6</v>
      </c>
      <c r="N36" s="30">
        <f t="shared" si="2"/>
        <v>176.06</v>
      </c>
      <c r="O36" s="29">
        <f t="shared" si="2"/>
        <v>30</v>
      </c>
      <c r="P36" s="30">
        <f t="shared" si="2"/>
        <v>135</v>
      </c>
      <c r="Q36" s="29">
        <f t="shared" si="2"/>
        <v>25</v>
      </c>
      <c r="R36" s="30">
        <f t="shared" si="2"/>
        <v>190.68</v>
      </c>
      <c r="S36" s="29">
        <f t="shared" si="2"/>
        <v>31</v>
      </c>
      <c r="T36" s="30">
        <f t="shared" si="2"/>
        <v>0</v>
      </c>
      <c r="U36" s="30">
        <f t="shared" si="2"/>
        <v>0</v>
      </c>
      <c r="V36" s="30">
        <f t="shared" si="2"/>
        <v>134.97999999999999</v>
      </c>
      <c r="W36" s="29">
        <f t="shared" si="2"/>
        <v>47</v>
      </c>
      <c r="X36" s="30">
        <f t="shared" si="2"/>
        <v>64.12</v>
      </c>
      <c r="Y36" s="29">
        <f t="shared" si="2"/>
        <v>13</v>
      </c>
      <c r="Z36" s="30">
        <f t="shared" si="2"/>
        <v>114.76</v>
      </c>
      <c r="AA36" s="29">
        <f t="shared" si="2"/>
        <v>31</v>
      </c>
      <c r="AB36" s="30">
        <f t="shared" si="2"/>
        <v>1481.74</v>
      </c>
      <c r="AC36" s="29">
        <f t="shared" si="2"/>
        <v>311</v>
      </c>
      <c r="AE36" s="46"/>
      <c r="AG36" s="46"/>
    </row>
    <row r="37" spans="1:33" s="24" customFormat="1" ht="7.5" hidden="1" customHeight="1" x14ac:dyDescent="0.15">
      <c r="A37" s="56"/>
      <c r="B37" s="73"/>
      <c r="C37" s="74"/>
      <c r="D37" s="57"/>
      <c r="E37" s="58"/>
      <c r="F37" s="57"/>
      <c r="G37" s="58"/>
      <c r="H37" s="57"/>
      <c r="I37" s="58"/>
      <c r="J37" s="57"/>
      <c r="K37" s="58"/>
      <c r="L37" s="57"/>
      <c r="M37" s="58"/>
      <c r="N37" s="57"/>
      <c r="O37" s="58"/>
      <c r="P37" s="57"/>
      <c r="Q37" s="58"/>
      <c r="R37" s="57"/>
      <c r="S37" s="58"/>
      <c r="T37" s="57"/>
      <c r="U37" s="58"/>
      <c r="V37" s="57"/>
      <c r="W37" s="58"/>
      <c r="X37" s="57"/>
      <c r="Y37" s="58"/>
      <c r="Z37" s="57"/>
      <c r="AA37" s="58"/>
      <c r="AB37" s="59"/>
      <c r="AC37" s="67"/>
      <c r="AE37" s="46"/>
      <c r="AG37" s="46"/>
    </row>
    <row r="38" spans="1:33" s="25" customFormat="1" ht="26.25" customHeight="1" x14ac:dyDescent="0.25">
      <c r="A38" s="60" t="s">
        <v>68</v>
      </c>
      <c r="B38" s="75"/>
      <c r="C38" s="75"/>
      <c r="D38" s="61"/>
      <c r="E38" s="61"/>
      <c r="F38" s="61"/>
      <c r="G38" s="61"/>
      <c r="H38" s="61"/>
      <c r="I38" s="61"/>
      <c r="P38" s="49"/>
      <c r="Q38" s="49"/>
      <c r="R38" s="62"/>
      <c r="S38" s="62"/>
      <c r="T38" s="62"/>
      <c r="U38" s="62"/>
      <c r="V38" s="62"/>
      <c r="W38" s="62"/>
      <c r="X38" s="62"/>
      <c r="Y38" s="62"/>
      <c r="Z38" s="62"/>
      <c r="AA38" s="62"/>
      <c r="AC38" s="68"/>
      <c r="AE38" s="49"/>
    </row>
    <row r="40" spans="1:33" x14ac:dyDescent="0.15">
      <c r="A40" s="94"/>
      <c r="B40" s="94"/>
      <c r="C40" s="94"/>
      <c r="D40" s="94"/>
      <c r="E40" s="21"/>
      <c r="F40" s="21"/>
      <c r="G40" s="21"/>
      <c r="H40" s="21"/>
      <c r="I40" s="21"/>
      <c r="AB40" s="63"/>
      <c r="AC40" s="69"/>
      <c r="AE40" s="43"/>
    </row>
    <row r="41" spans="1:33" x14ac:dyDescent="0.15">
      <c r="F41" s="44"/>
      <c r="G41" s="44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E41" s="43"/>
      <c r="AF41" s="43"/>
    </row>
    <row r="42" spans="1:33" x14ac:dyDescent="0.15">
      <c r="J42" s="43"/>
      <c r="AB42" s="44"/>
      <c r="AC42" s="44"/>
    </row>
    <row r="44" spans="1:33" x14ac:dyDescent="0.15">
      <c r="AB44" s="64"/>
      <c r="AC44" s="70"/>
    </row>
    <row r="46" spans="1:33" x14ac:dyDescent="0.15">
      <c r="AB46" s="65"/>
      <c r="AC46" s="71"/>
    </row>
    <row r="48" spans="1:33" x14ac:dyDescent="0.15">
      <c r="AB48" s="66"/>
      <c r="AC48" s="72"/>
    </row>
  </sheetData>
  <mergeCells count="18">
    <mergeCell ref="A40:D40"/>
    <mergeCell ref="A3:A4"/>
    <mergeCell ref="A1:AC1"/>
    <mergeCell ref="D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</mergeCells>
  <phoneticPr fontId="19" type="noConversion"/>
  <pageMargins left="0.4" right="0.22" top="0.22" bottom="0.2" header="0.22" footer="0.2"/>
  <pageSetup paperSize="9" scale="55" orientation="landscape"/>
  <headerFooter scaleWithDoc="0"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M48"/>
  <sheetViews>
    <sheetView workbookViewId="0">
      <pane xSplit="1" ySplit="4" topLeftCell="B21" activePane="bottomRight" state="frozen"/>
      <selection pane="topRight"/>
      <selection pane="bottomLeft"/>
      <selection pane="bottomRight" activeCell="H25" sqref="H25:I35"/>
    </sheetView>
  </sheetViews>
  <sheetFormatPr defaultColWidth="9" defaultRowHeight="14.25" x14ac:dyDescent="0.15"/>
  <cols>
    <col min="1" max="1" width="5.375" style="1" customWidth="1"/>
    <col min="2" max="2" width="12.25" style="1" customWidth="1"/>
    <col min="3" max="3" width="5.375" style="1" customWidth="1"/>
    <col min="4" max="4" width="9.25" style="1" customWidth="1"/>
    <col min="5" max="5" width="6.5" style="1" customWidth="1"/>
    <col min="6" max="6" width="8.375" style="1" customWidth="1"/>
    <col min="7" max="7" width="5.875" style="1" customWidth="1"/>
    <col min="8" max="8" width="13.75" style="1" customWidth="1"/>
    <col min="9" max="9" width="11.125" style="1" customWidth="1"/>
    <col min="10" max="10" width="9" style="1"/>
    <col min="11" max="11" width="13" style="1"/>
    <col min="12" max="12" width="9" style="1"/>
    <col min="13" max="13" width="11.625" style="1"/>
    <col min="14" max="16384" width="9" style="1"/>
  </cols>
  <sheetData>
    <row r="1" spans="1:9" ht="35.25" customHeight="1" x14ac:dyDescent="0.1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s="2" customFormat="1" ht="23.25" customHeight="1" x14ac:dyDescent="0.15">
      <c r="A2" s="4">
        <v>1000</v>
      </c>
      <c r="B2" s="105" t="s">
        <v>69</v>
      </c>
      <c r="C2" s="105"/>
      <c r="D2" s="105"/>
      <c r="E2" s="105"/>
      <c r="F2" s="105"/>
      <c r="G2" s="105"/>
      <c r="H2" s="105"/>
      <c r="I2" s="105"/>
    </row>
    <row r="3" spans="1:9" s="2" customFormat="1" ht="37.5" customHeight="1" x14ac:dyDescent="0.15">
      <c r="A3" s="95" t="s">
        <v>2</v>
      </c>
      <c r="B3" s="88" t="s">
        <v>56</v>
      </c>
      <c r="C3" s="89"/>
      <c r="D3" s="88" t="s">
        <v>59</v>
      </c>
      <c r="E3" s="89"/>
      <c r="F3" s="88" t="s">
        <v>64</v>
      </c>
      <c r="G3" s="89"/>
      <c r="H3" s="92" t="s">
        <v>13</v>
      </c>
      <c r="I3" s="93"/>
    </row>
    <row r="4" spans="1:9" s="2" customFormat="1" ht="24.75" customHeight="1" x14ac:dyDescent="0.15">
      <c r="A4" s="96"/>
      <c r="B4" s="52" t="s">
        <v>14</v>
      </c>
      <c r="C4" s="52" t="s">
        <v>15</v>
      </c>
      <c r="D4" s="53" t="s">
        <v>14</v>
      </c>
      <c r="E4" s="53" t="s">
        <v>15</v>
      </c>
      <c r="F4" s="53" t="s">
        <v>14</v>
      </c>
      <c r="G4" s="53" t="s">
        <v>15</v>
      </c>
      <c r="H4" s="53" t="s">
        <v>14</v>
      </c>
      <c r="I4" s="53" t="s">
        <v>15</v>
      </c>
    </row>
    <row r="5" spans="1:9" s="24" customFormat="1" ht="25.5" customHeight="1" x14ac:dyDescent="0.15">
      <c r="A5" s="54" t="s">
        <v>16</v>
      </c>
      <c r="B5" s="28">
        <v>0</v>
      </c>
      <c r="C5" s="29">
        <v>0</v>
      </c>
      <c r="D5" s="28">
        <v>0</v>
      </c>
      <c r="E5" s="29">
        <v>0</v>
      </c>
      <c r="F5" s="28">
        <v>0</v>
      </c>
      <c r="G5" s="29">
        <v>0</v>
      </c>
      <c r="H5" s="30">
        <f t="shared" ref="H5:H35" si="0">B5+D5+F5</f>
        <v>0</v>
      </c>
      <c r="I5" s="29">
        <f t="shared" ref="I5:I35" si="1">C5+E5+G5</f>
        <v>0</v>
      </c>
    </row>
    <row r="6" spans="1:9" s="24" customFormat="1" ht="25.5" customHeight="1" x14ac:dyDescent="0.15">
      <c r="A6" s="54" t="s">
        <v>17</v>
      </c>
      <c r="B6" s="28">
        <v>0</v>
      </c>
      <c r="C6" s="29">
        <v>0</v>
      </c>
      <c r="D6" s="28">
        <v>0</v>
      </c>
      <c r="E6" s="29">
        <v>0</v>
      </c>
      <c r="F6" s="28">
        <v>0</v>
      </c>
      <c r="G6" s="29">
        <v>0</v>
      </c>
      <c r="H6" s="30">
        <f t="shared" si="0"/>
        <v>0</v>
      </c>
      <c r="I6" s="29">
        <f t="shared" si="1"/>
        <v>0</v>
      </c>
    </row>
    <row r="7" spans="1:9" s="24" customFormat="1" ht="25.5" customHeight="1" x14ac:dyDescent="0.15">
      <c r="A7" s="54" t="s">
        <v>18</v>
      </c>
      <c r="B7" s="28">
        <v>0</v>
      </c>
      <c r="C7" s="29">
        <v>0</v>
      </c>
      <c r="D7" s="28">
        <v>0</v>
      </c>
      <c r="E7" s="29">
        <v>0</v>
      </c>
      <c r="F7" s="28">
        <v>0</v>
      </c>
      <c r="G7" s="29">
        <v>0</v>
      </c>
      <c r="H7" s="30">
        <f t="shared" si="0"/>
        <v>0</v>
      </c>
      <c r="I7" s="29">
        <f t="shared" si="1"/>
        <v>0</v>
      </c>
    </row>
    <row r="8" spans="1:9" s="24" customFormat="1" ht="25.5" customHeight="1" x14ac:dyDescent="0.15">
      <c r="A8" s="54" t="s">
        <v>19</v>
      </c>
      <c r="B8" s="28">
        <v>0</v>
      </c>
      <c r="C8" s="29">
        <v>0</v>
      </c>
      <c r="D8" s="28">
        <v>0</v>
      </c>
      <c r="E8" s="29">
        <v>0</v>
      </c>
      <c r="F8" s="28">
        <v>0</v>
      </c>
      <c r="G8" s="29">
        <v>0</v>
      </c>
      <c r="H8" s="30">
        <f t="shared" si="0"/>
        <v>0</v>
      </c>
      <c r="I8" s="29">
        <f t="shared" si="1"/>
        <v>0</v>
      </c>
    </row>
    <row r="9" spans="1:9" s="24" customFormat="1" ht="25.5" customHeight="1" x14ac:dyDescent="0.15">
      <c r="A9" s="54" t="s">
        <v>20</v>
      </c>
      <c r="B9" s="28">
        <v>0</v>
      </c>
      <c r="C9" s="29">
        <v>0</v>
      </c>
      <c r="D9" s="28">
        <v>0</v>
      </c>
      <c r="E9" s="29">
        <v>0</v>
      </c>
      <c r="F9" s="28">
        <v>0</v>
      </c>
      <c r="G9" s="29">
        <v>0</v>
      </c>
      <c r="H9" s="30">
        <f t="shared" si="0"/>
        <v>0</v>
      </c>
      <c r="I9" s="29">
        <f t="shared" si="1"/>
        <v>0</v>
      </c>
    </row>
    <row r="10" spans="1:9" s="24" customFormat="1" ht="25.5" customHeight="1" x14ac:dyDescent="0.15">
      <c r="A10" s="54" t="s">
        <v>21</v>
      </c>
      <c r="B10" s="28">
        <v>0</v>
      </c>
      <c r="C10" s="29">
        <v>0</v>
      </c>
      <c r="D10" s="28">
        <v>0</v>
      </c>
      <c r="E10" s="29">
        <v>0</v>
      </c>
      <c r="F10" s="28">
        <v>0</v>
      </c>
      <c r="G10" s="29">
        <v>0</v>
      </c>
      <c r="H10" s="30">
        <f t="shared" si="0"/>
        <v>0</v>
      </c>
      <c r="I10" s="29">
        <f t="shared" si="1"/>
        <v>0</v>
      </c>
    </row>
    <row r="11" spans="1:9" s="24" customFormat="1" ht="25.5" customHeight="1" x14ac:dyDescent="0.15">
      <c r="A11" s="54" t="s">
        <v>22</v>
      </c>
      <c r="B11" s="28">
        <v>0</v>
      </c>
      <c r="C11" s="29">
        <v>0</v>
      </c>
      <c r="D11" s="28">
        <v>0</v>
      </c>
      <c r="E11" s="29">
        <v>0</v>
      </c>
      <c r="F11" s="28">
        <v>0</v>
      </c>
      <c r="G11" s="29">
        <v>0</v>
      </c>
      <c r="H11" s="30">
        <f t="shared" si="0"/>
        <v>0</v>
      </c>
      <c r="I11" s="29">
        <f t="shared" si="1"/>
        <v>0</v>
      </c>
    </row>
    <row r="12" spans="1:9" s="24" customFormat="1" ht="25.5" customHeight="1" x14ac:dyDescent="0.15">
      <c r="A12" s="54" t="s">
        <v>23</v>
      </c>
      <c r="B12" s="28">
        <v>0</v>
      </c>
      <c r="C12" s="29">
        <v>0</v>
      </c>
      <c r="D12" s="28">
        <v>0</v>
      </c>
      <c r="E12" s="29">
        <v>0</v>
      </c>
      <c r="F12" s="28">
        <v>0</v>
      </c>
      <c r="G12" s="29">
        <v>0</v>
      </c>
      <c r="H12" s="30">
        <f t="shared" si="0"/>
        <v>0</v>
      </c>
      <c r="I12" s="29">
        <f t="shared" si="1"/>
        <v>0</v>
      </c>
    </row>
    <row r="13" spans="1:9" s="24" customFormat="1" ht="25.5" customHeight="1" x14ac:dyDescent="0.15">
      <c r="A13" s="54" t="s">
        <v>24</v>
      </c>
      <c r="B13" s="28">
        <v>0</v>
      </c>
      <c r="C13" s="29">
        <v>0</v>
      </c>
      <c r="D13" s="28">
        <v>0</v>
      </c>
      <c r="E13" s="29">
        <v>0</v>
      </c>
      <c r="F13" s="28">
        <v>0</v>
      </c>
      <c r="G13" s="29">
        <v>0</v>
      </c>
      <c r="H13" s="30">
        <f t="shared" si="0"/>
        <v>0</v>
      </c>
      <c r="I13" s="29">
        <f t="shared" si="1"/>
        <v>0</v>
      </c>
    </row>
    <row r="14" spans="1:9" s="24" customFormat="1" ht="25.5" customHeight="1" x14ac:dyDescent="0.15">
      <c r="A14" s="54" t="s">
        <v>25</v>
      </c>
      <c r="B14" s="28">
        <v>0</v>
      </c>
      <c r="C14" s="29">
        <v>0</v>
      </c>
      <c r="D14" s="28">
        <v>0</v>
      </c>
      <c r="E14" s="29">
        <v>0</v>
      </c>
      <c r="F14" s="28">
        <v>0</v>
      </c>
      <c r="G14" s="29">
        <v>0</v>
      </c>
      <c r="H14" s="30">
        <f t="shared" si="0"/>
        <v>0</v>
      </c>
      <c r="I14" s="29">
        <f t="shared" si="1"/>
        <v>0</v>
      </c>
    </row>
    <row r="15" spans="1:9" s="24" customFormat="1" ht="25.5" customHeight="1" x14ac:dyDescent="0.15">
      <c r="A15" s="54" t="s">
        <v>26</v>
      </c>
      <c r="B15" s="28">
        <v>0</v>
      </c>
      <c r="C15" s="29">
        <v>0</v>
      </c>
      <c r="D15" s="28">
        <v>0</v>
      </c>
      <c r="E15" s="29">
        <v>0</v>
      </c>
      <c r="F15" s="28">
        <v>0</v>
      </c>
      <c r="G15" s="29">
        <v>0</v>
      </c>
      <c r="H15" s="30">
        <f t="shared" si="0"/>
        <v>0</v>
      </c>
      <c r="I15" s="29">
        <f t="shared" si="1"/>
        <v>0</v>
      </c>
    </row>
    <row r="16" spans="1:9" s="24" customFormat="1" ht="25.5" customHeight="1" x14ac:dyDescent="0.15">
      <c r="A16" s="54" t="s">
        <v>27</v>
      </c>
      <c r="B16" s="28">
        <v>0</v>
      </c>
      <c r="C16" s="29">
        <v>0</v>
      </c>
      <c r="D16" s="28">
        <v>0</v>
      </c>
      <c r="E16" s="29">
        <v>0</v>
      </c>
      <c r="F16" s="28">
        <v>0</v>
      </c>
      <c r="G16" s="29">
        <v>0</v>
      </c>
      <c r="H16" s="30">
        <f t="shared" si="0"/>
        <v>0</v>
      </c>
      <c r="I16" s="29">
        <f t="shared" si="1"/>
        <v>0</v>
      </c>
    </row>
    <row r="17" spans="1:9" s="24" customFormat="1" ht="25.5" customHeight="1" x14ac:dyDescent="0.15">
      <c r="A17" s="54" t="s">
        <v>28</v>
      </c>
      <c r="B17" s="28">
        <v>0</v>
      </c>
      <c r="C17" s="29">
        <v>0</v>
      </c>
      <c r="D17" s="28">
        <v>0</v>
      </c>
      <c r="E17" s="29">
        <v>0</v>
      </c>
      <c r="F17" s="28">
        <v>0</v>
      </c>
      <c r="G17" s="29">
        <v>0</v>
      </c>
      <c r="H17" s="30">
        <f t="shared" si="0"/>
        <v>0</v>
      </c>
      <c r="I17" s="29">
        <f t="shared" si="1"/>
        <v>0</v>
      </c>
    </row>
    <row r="18" spans="1:9" s="24" customFormat="1" ht="25.5" customHeight="1" x14ac:dyDescent="0.15">
      <c r="A18" s="54" t="s">
        <v>29</v>
      </c>
      <c r="B18" s="28">
        <v>0</v>
      </c>
      <c r="C18" s="29">
        <v>0</v>
      </c>
      <c r="D18" s="28">
        <v>0</v>
      </c>
      <c r="E18" s="29">
        <v>0</v>
      </c>
      <c r="F18" s="28">
        <v>0</v>
      </c>
      <c r="G18" s="29">
        <v>0</v>
      </c>
      <c r="H18" s="30">
        <f t="shared" si="0"/>
        <v>0</v>
      </c>
      <c r="I18" s="29">
        <f t="shared" si="1"/>
        <v>0</v>
      </c>
    </row>
    <row r="19" spans="1:9" s="24" customFormat="1" ht="25.5" customHeight="1" x14ac:dyDescent="0.15">
      <c r="A19" s="54" t="s">
        <v>30</v>
      </c>
      <c r="B19" s="28">
        <v>0</v>
      </c>
      <c r="C19" s="29">
        <v>0</v>
      </c>
      <c r="D19" s="28">
        <v>0</v>
      </c>
      <c r="E19" s="29">
        <v>0</v>
      </c>
      <c r="F19" s="28">
        <v>0</v>
      </c>
      <c r="G19" s="29">
        <v>0</v>
      </c>
      <c r="H19" s="30">
        <f t="shared" si="0"/>
        <v>0</v>
      </c>
      <c r="I19" s="29">
        <f t="shared" si="1"/>
        <v>0</v>
      </c>
    </row>
    <row r="20" spans="1:9" s="24" customFormat="1" ht="25.5" customHeight="1" x14ac:dyDescent="0.15">
      <c r="A20" s="54" t="s">
        <v>31</v>
      </c>
      <c r="B20" s="28">
        <v>0</v>
      </c>
      <c r="C20" s="29">
        <v>0</v>
      </c>
      <c r="D20" s="28">
        <v>0</v>
      </c>
      <c r="E20" s="29">
        <v>0</v>
      </c>
      <c r="F20" s="28">
        <v>0</v>
      </c>
      <c r="G20" s="29">
        <v>0</v>
      </c>
      <c r="H20" s="30">
        <f t="shared" si="0"/>
        <v>0</v>
      </c>
      <c r="I20" s="29">
        <f t="shared" si="1"/>
        <v>0</v>
      </c>
    </row>
    <row r="21" spans="1:9" s="24" customFormat="1" ht="25.5" customHeight="1" x14ac:dyDescent="0.15">
      <c r="A21" s="54" t="s">
        <v>32</v>
      </c>
      <c r="B21" s="28">
        <v>0</v>
      </c>
      <c r="C21" s="29">
        <v>0</v>
      </c>
      <c r="D21" s="28">
        <v>0</v>
      </c>
      <c r="E21" s="29">
        <v>0</v>
      </c>
      <c r="F21" s="28">
        <v>0</v>
      </c>
      <c r="G21" s="29">
        <v>0</v>
      </c>
      <c r="H21" s="30">
        <f t="shared" si="0"/>
        <v>0</v>
      </c>
      <c r="I21" s="29">
        <f t="shared" si="1"/>
        <v>0</v>
      </c>
    </row>
    <row r="22" spans="1:9" s="24" customFormat="1" ht="25.5" customHeight="1" x14ac:dyDescent="0.15">
      <c r="A22" s="54" t="s">
        <v>33</v>
      </c>
      <c r="B22" s="28">
        <v>0</v>
      </c>
      <c r="C22" s="29">
        <v>0</v>
      </c>
      <c r="D22" s="28">
        <v>0</v>
      </c>
      <c r="E22" s="29">
        <v>0</v>
      </c>
      <c r="F22" s="28">
        <v>0</v>
      </c>
      <c r="G22" s="29">
        <v>0</v>
      </c>
      <c r="H22" s="30">
        <f t="shared" si="0"/>
        <v>0</v>
      </c>
      <c r="I22" s="29">
        <f t="shared" si="1"/>
        <v>0</v>
      </c>
    </row>
    <row r="23" spans="1:9" s="24" customFormat="1" ht="25.5" customHeight="1" x14ac:dyDescent="0.15">
      <c r="A23" s="54" t="s">
        <v>34</v>
      </c>
      <c r="B23" s="28">
        <v>0</v>
      </c>
      <c r="C23" s="29">
        <v>0</v>
      </c>
      <c r="D23" s="28">
        <v>0</v>
      </c>
      <c r="E23" s="29">
        <v>0</v>
      </c>
      <c r="F23" s="28">
        <v>0</v>
      </c>
      <c r="G23" s="29">
        <v>0</v>
      </c>
      <c r="H23" s="30">
        <f t="shared" si="0"/>
        <v>0</v>
      </c>
      <c r="I23" s="29">
        <f t="shared" si="1"/>
        <v>0</v>
      </c>
    </row>
    <row r="24" spans="1:9" s="24" customFormat="1" ht="25.5" customHeight="1" x14ac:dyDescent="0.15">
      <c r="A24" s="54" t="s">
        <v>35</v>
      </c>
      <c r="B24" s="28">
        <v>4.4400000000000004</v>
      </c>
      <c r="C24" s="29">
        <v>1</v>
      </c>
      <c r="D24" s="28">
        <f>6.28+5.96</f>
        <v>12.24</v>
      </c>
      <c r="E24" s="29">
        <v>2</v>
      </c>
      <c r="F24" s="28">
        <v>5.24</v>
      </c>
      <c r="G24" s="29">
        <v>1</v>
      </c>
      <c r="H24" s="30">
        <f t="shared" si="0"/>
        <v>21.92</v>
      </c>
      <c r="I24" s="29">
        <f t="shared" si="1"/>
        <v>4</v>
      </c>
    </row>
    <row r="25" spans="1:9" s="24" customFormat="1" ht="25.5" customHeight="1" x14ac:dyDescent="0.15">
      <c r="A25" s="54" t="s">
        <v>36</v>
      </c>
      <c r="B25" s="28">
        <v>4.0999999999999996</v>
      </c>
      <c r="C25" s="29">
        <v>1</v>
      </c>
      <c r="D25" s="28">
        <f>4.98+5.82</f>
        <v>10.8</v>
      </c>
      <c r="E25" s="29">
        <v>2</v>
      </c>
      <c r="F25" s="28">
        <v>4.4000000000000004</v>
      </c>
      <c r="G25" s="29">
        <v>1</v>
      </c>
      <c r="H25" s="30">
        <f t="shared" si="0"/>
        <v>19.3</v>
      </c>
      <c r="I25" s="29">
        <f t="shared" si="1"/>
        <v>4</v>
      </c>
    </row>
    <row r="26" spans="1:9" s="24" customFormat="1" ht="25.5" customHeight="1" x14ac:dyDescent="0.15">
      <c r="A26" s="54" t="s">
        <v>37</v>
      </c>
      <c r="B26" s="28">
        <v>4.38</v>
      </c>
      <c r="C26" s="29">
        <v>1</v>
      </c>
      <c r="D26" s="28">
        <f>4.76+5.74</f>
        <v>10.5</v>
      </c>
      <c r="E26" s="29">
        <v>2</v>
      </c>
      <c r="F26" s="28">
        <v>5.38</v>
      </c>
      <c r="G26" s="29">
        <v>1</v>
      </c>
      <c r="H26" s="30">
        <f t="shared" si="0"/>
        <v>20.260000000000002</v>
      </c>
      <c r="I26" s="29">
        <f t="shared" si="1"/>
        <v>4</v>
      </c>
    </row>
    <row r="27" spans="1:9" s="24" customFormat="1" ht="25.5" customHeight="1" x14ac:dyDescent="0.15">
      <c r="A27" s="54" t="s">
        <v>38</v>
      </c>
      <c r="B27" s="28">
        <v>4.58</v>
      </c>
      <c r="C27" s="29">
        <v>1</v>
      </c>
      <c r="D27" s="28">
        <v>0</v>
      </c>
      <c r="E27" s="29">
        <v>0</v>
      </c>
      <c r="F27" s="28">
        <v>0</v>
      </c>
      <c r="G27" s="29">
        <v>0</v>
      </c>
      <c r="H27" s="30">
        <f t="shared" si="0"/>
        <v>4.58</v>
      </c>
      <c r="I27" s="29">
        <f t="shared" si="1"/>
        <v>1</v>
      </c>
    </row>
    <row r="28" spans="1:9" s="24" customFormat="1" ht="25.5" customHeight="1" x14ac:dyDescent="0.15">
      <c r="A28" s="54" t="s">
        <v>39</v>
      </c>
      <c r="B28" s="28">
        <v>0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30">
        <f t="shared" si="0"/>
        <v>0</v>
      </c>
      <c r="I28" s="29">
        <f t="shared" si="1"/>
        <v>0</v>
      </c>
    </row>
    <row r="29" spans="1:9" s="24" customFormat="1" ht="25.5" customHeight="1" x14ac:dyDescent="0.15">
      <c r="A29" s="54" t="s">
        <v>40</v>
      </c>
      <c r="B29" s="28">
        <v>0</v>
      </c>
      <c r="C29" s="29">
        <v>0</v>
      </c>
      <c r="D29" s="28">
        <v>0</v>
      </c>
      <c r="E29" s="29">
        <v>0</v>
      </c>
      <c r="F29" s="28">
        <v>0</v>
      </c>
      <c r="G29" s="29">
        <v>0</v>
      </c>
      <c r="H29" s="30">
        <f t="shared" si="0"/>
        <v>0</v>
      </c>
      <c r="I29" s="29">
        <f t="shared" si="1"/>
        <v>0</v>
      </c>
    </row>
    <row r="30" spans="1:9" s="24" customFormat="1" ht="25.5" customHeight="1" x14ac:dyDescent="0.15">
      <c r="A30" s="54" t="s">
        <v>41</v>
      </c>
      <c r="B30" s="28">
        <v>0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30">
        <f t="shared" si="0"/>
        <v>0</v>
      </c>
      <c r="I30" s="29">
        <f t="shared" si="1"/>
        <v>0</v>
      </c>
    </row>
    <row r="31" spans="1:9" s="24" customFormat="1" ht="25.5" customHeight="1" x14ac:dyDescent="0.15">
      <c r="A31" s="54" t="s">
        <v>42</v>
      </c>
      <c r="B31" s="28">
        <v>0</v>
      </c>
      <c r="C31" s="29">
        <v>0</v>
      </c>
      <c r="D31" s="28">
        <v>0</v>
      </c>
      <c r="E31" s="29">
        <v>0</v>
      </c>
      <c r="F31" s="28">
        <v>0</v>
      </c>
      <c r="G31" s="29">
        <v>0</v>
      </c>
      <c r="H31" s="30">
        <f t="shared" si="0"/>
        <v>0</v>
      </c>
      <c r="I31" s="29">
        <f t="shared" si="1"/>
        <v>0</v>
      </c>
    </row>
    <row r="32" spans="1:9" s="24" customFormat="1" ht="25.5" customHeight="1" x14ac:dyDescent="0.15">
      <c r="A32" s="54" t="s">
        <v>43</v>
      </c>
      <c r="B32" s="28">
        <v>0</v>
      </c>
      <c r="C32" s="29">
        <v>0</v>
      </c>
      <c r="D32" s="28">
        <v>0</v>
      </c>
      <c r="E32" s="29">
        <v>0</v>
      </c>
      <c r="F32" s="28">
        <v>0</v>
      </c>
      <c r="G32" s="29">
        <v>0</v>
      </c>
      <c r="H32" s="30">
        <f t="shared" si="0"/>
        <v>0</v>
      </c>
      <c r="I32" s="29">
        <f t="shared" si="1"/>
        <v>0</v>
      </c>
    </row>
    <row r="33" spans="1:13" s="24" customFormat="1" ht="25.5" customHeight="1" x14ac:dyDescent="0.15">
      <c r="A33" s="54" t="s">
        <v>44</v>
      </c>
      <c r="B33" s="28">
        <v>0</v>
      </c>
      <c r="C33" s="29">
        <v>0</v>
      </c>
      <c r="D33" s="28">
        <v>0</v>
      </c>
      <c r="E33" s="29">
        <v>0</v>
      </c>
      <c r="F33" s="28">
        <v>0</v>
      </c>
      <c r="G33" s="29">
        <v>0</v>
      </c>
      <c r="H33" s="30">
        <f t="shared" si="0"/>
        <v>0</v>
      </c>
      <c r="I33" s="29">
        <f t="shared" si="1"/>
        <v>0</v>
      </c>
    </row>
    <row r="34" spans="1:13" s="24" customFormat="1" ht="25.5" customHeight="1" x14ac:dyDescent="0.15">
      <c r="A34" s="54" t="s">
        <v>45</v>
      </c>
      <c r="B34" s="28">
        <v>0</v>
      </c>
      <c r="C34" s="29">
        <v>0</v>
      </c>
      <c r="D34" s="28">
        <v>0</v>
      </c>
      <c r="E34" s="29">
        <v>0</v>
      </c>
      <c r="F34" s="28">
        <v>0</v>
      </c>
      <c r="G34" s="29">
        <v>0</v>
      </c>
      <c r="H34" s="30">
        <f t="shared" si="0"/>
        <v>0</v>
      </c>
      <c r="I34" s="29">
        <f t="shared" si="1"/>
        <v>0</v>
      </c>
    </row>
    <row r="35" spans="1:13" s="24" customFormat="1" ht="24" customHeight="1" x14ac:dyDescent="0.15">
      <c r="A35" s="54" t="s">
        <v>46</v>
      </c>
      <c r="B35" s="28">
        <v>0</v>
      </c>
      <c r="C35" s="29">
        <v>0</v>
      </c>
      <c r="D35" s="28">
        <v>0</v>
      </c>
      <c r="E35" s="29">
        <v>0</v>
      </c>
      <c r="F35" s="28">
        <v>0</v>
      </c>
      <c r="G35" s="29">
        <v>0</v>
      </c>
      <c r="H35" s="30">
        <f t="shared" si="0"/>
        <v>0</v>
      </c>
      <c r="I35" s="29">
        <f t="shared" si="1"/>
        <v>0</v>
      </c>
    </row>
    <row r="36" spans="1:13" s="24" customFormat="1" ht="25.5" customHeight="1" x14ac:dyDescent="0.15">
      <c r="A36" s="55" t="s">
        <v>13</v>
      </c>
      <c r="B36" s="30">
        <f t="shared" ref="B36:I36" si="2">SUM(B5:B35)</f>
        <v>17.5</v>
      </c>
      <c r="C36" s="29">
        <f t="shared" si="2"/>
        <v>4</v>
      </c>
      <c r="D36" s="30">
        <f t="shared" si="2"/>
        <v>33.54</v>
      </c>
      <c r="E36" s="29">
        <f t="shared" si="2"/>
        <v>6</v>
      </c>
      <c r="F36" s="30">
        <f t="shared" si="2"/>
        <v>15.02</v>
      </c>
      <c r="G36" s="29">
        <f t="shared" si="2"/>
        <v>3</v>
      </c>
      <c r="H36" s="30">
        <f t="shared" si="2"/>
        <v>66.06</v>
      </c>
      <c r="I36" s="29">
        <f t="shared" si="2"/>
        <v>13</v>
      </c>
      <c r="K36" s="46"/>
      <c r="M36" s="46"/>
    </row>
    <row r="37" spans="1:13" s="24" customFormat="1" ht="7.5" hidden="1" customHeight="1" x14ac:dyDescent="0.15">
      <c r="A37" s="56"/>
      <c r="B37" s="57"/>
      <c r="C37" s="58"/>
      <c r="D37" s="57"/>
      <c r="E37" s="58"/>
      <c r="F37" s="57"/>
      <c r="G37" s="58"/>
      <c r="H37" s="59"/>
      <c r="I37" s="67"/>
      <c r="K37" s="46"/>
      <c r="M37" s="46"/>
    </row>
    <row r="38" spans="1:13" s="25" customFormat="1" ht="26.25" customHeight="1" x14ac:dyDescent="0.25">
      <c r="A38" s="60" t="s">
        <v>70</v>
      </c>
      <c r="B38" s="61"/>
      <c r="C38" s="61"/>
      <c r="F38" s="62"/>
      <c r="G38" s="62"/>
      <c r="I38" s="68"/>
      <c r="K38" s="49"/>
    </row>
    <row r="40" spans="1:13" x14ac:dyDescent="0.15">
      <c r="A40" s="94"/>
      <c r="B40" s="94"/>
      <c r="C40" s="21"/>
      <c r="H40" s="63"/>
      <c r="I40" s="69"/>
      <c r="K40" s="43"/>
    </row>
    <row r="41" spans="1:13" x14ac:dyDescent="0.15">
      <c r="F41" s="43"/>
      <c r="G41" s="43"/>
      <c r="H41" s="43"/>
      <c r="I41" s="43"/>
      <c r="K41" s="43"/>
      <c r="L41" s="43"/>
    </row>
    <row r="42" spans="1:13" x14ac:dyDescent="0.15">
      <c r="D42" s="43"/>
      <c r="H42" s="44"/>
      <c r="I42" s="44"/>
    </row>
    <row r="44" spans="1:13" x14ac:dyDescent="0.15">
      <c r="H44" s="64"/>
      <c r="I44" s="70"/>
    </row>
    <row r="46" spans="1:13" x14ac:dyDescent="0.15">
      <c r="H46" s="65"/>
      <c r="I46" s="71"/>
    </row>
    <row r="48" spans="1:13" x14ac:dyDescent="0.15">
      <c r="H48" s="66"/>
      <c r="I48" s="72"/>
    </row>
  </sheetData>
  <mergeCells count="8">
    <mergeCell ref="A40:B40"/>
    <mergeCell ref="A3:A4"/>
    <mergeCell ref="A1:I1"/>
    <mergeCell ref="B2:I2"/>
    <mergeCell ref="B3:C3"/>
    <mergeCell ref="D3:E3"/>
    <mergeCell ref="F3:G3"/>
    <mergeCell ref="H3:I3"/>
  </mergeCells>
  <phoneticPr fontId="19" type="noConversion"/>
  <pageMargins left="0.4" right="0.22" top="0.22" bottom="0.2" header="0.22" footer="0.2"/>
  <pageSetup paperSize="9" scale="81" orientation="portrait"/>
  <headerFooter scaleWithDoc="0"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O41"/>
  <sheetViews>
    <sheetView workbookViewId="0">
      <pane xSplit="1" ySplit="4" topLeftCell="B17" activePane="bottomRight" state="frozen"/>
      <selection pane="topRight"/>
      <selection pane="bottomLeft"/>
      <selection pane="bottomRight" activeCell="J5" sqref="J5:K35"/>
    </sheetView>
  </sheetViews>
  <sheetFormatPr defaultColWidth="9" defaultRowHeight="14.25" x14ac:dyDescent="0.15"/>
  <cols>
    <col min="1" max="1" width="5.375" style="1" customWidth="1"/>
    <col min="2" max="2" width="11.125" style="1" customWidth="1"/>
    <col min="3" max="3" width="6" style="1" customWidth="1"/>
    <col min="4" max="4" width="11.375" style="1" customWidth="1"/>
    <col min="5" max="5" width="6.625" style="1" customWidth="1"/>
    <col min="6" max="6" width="11.125" style="1" customWidth="1"/>
    <col min="7" max="7" width="6.25" style="1" customWidth="1"/>
    <col min="8" max="8" width="11.375" style="1" customWidth="1"/>
    <col min="9" max="9" width="6.5" style="1" customWidth="1"/>
    <col min="10" max="10" width="13.75" style="1" customWidth="1"/>
    <col min="11" max="11" width="7.375" style="1" customWidth="1"/>
    <col min="12" max="12" width="9" style="1"/>
    <col min="13" max="13" width="16.125" style="1"/>
    <col min="14" max="14" width="32.75" style="1" customWidth="1"/>
    <col min="15" max="15" width="11.625" style="1"/>
    <col min="16" max="16384" width="9" style="1"/>
  </cols>
  <sheetData>
    <row r="1" spans="1:15" ht="35.25" customHeight="1" x14ac:dyDescent="0.1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5" s="2" customFormat="1" ht="30" customHeight="1" x14ac:dyDescent="0.15">
      <c r="A2" s="4">
        <v>1000</v>
      </c>
      <c r="B2" s="4"/>
      <c r="C2" s="4"/>
      <c r="D2" s="106" t="s">
        <v>1</v>
      </c>
      <c r="E2" s="106"/>
      <c r="F2" s="106"/>
      <c r="G2" s="106"/>
      <c r="H2" s="106"/>
      <c r="I2" s="106"/>
      <c r="J2" s="106"/>
      <c r="K2" s="106"/>
    </row>
    <row r="3" spans="1:15" s="2" customFormat="1" ht="37.5" customHeight="1" x14ac:dyDescent="0.15">
      <c r="A3" s="109" t="s">
        <v>2</v>
      </c>
      <c r="B3" s="107" t="s">
        <v>71</v>
      </c>
      <c r="C3" s="108"/>
      <c r="D3" s="107" t="s">
        <v>72</v>
      </c>
      <c r="E3" s="108"/>
      <c r="F3" s="107" t="s">
        <v>73</v>
      </c>
      <c r="G3" s="108"/>
      <c r="H3" s="107" t="s">
        <v>74</v>
      </c>
      <c r="I3" s="108"/>
      <c r="J3" s="100" t="s">
        <v>13</v>
      </c>
      <c r="K3" s="101"/>
    </row>
    <row r="4" spans="1:15" s="2" customFormat="1" ht="24.75" customHeight="1" x14ac:dyDescent="0.15">
      <c r="A4" s="104"/>
      <c r="B4" s="10" t="s">
        <v>14</v>
      </c>
      <c r="C4" s="10" t="s">
        <v>15</v>
      </c>
      <c r="D4" s="10" t="s">
        <v>14</v>
      </c>
      <c r="E4" s="10" t="s">
        <v>15</v>
      </c>
      <c r="F4" s="7" t="s">
        <v>14</v>
      </c>
      <c r="G4" s="7" t="s">
        <v>15</v>
      </c>
      <c r="H4" s="7" t="s">
        <v>14</v>
      </c>
      <c r="I4" s="7" t="s">
        <v>15</v>
      </c>
      <c r="J4" s="7" t="s">
        <v>14</v>
      </c>
      <c r="K4" s="7" t="s">
        <v>15</v>
      </c>
    </row>
    <row r="5" spans="1:15" s="24" customFormat="1" ht="22.5" customHeight="1" x14ac:dyDescent="0.15">
      <c r="A5" s="27" t="s">
        <v>16</v>
      </c>
      <c r="B5" s="28">
        <v>0</v>
      </c>
      <c r="C5" s="29">
        <v>0</v>
      </c>
      <c r="D5" s="28">
        <v>2.2400000000000002</v>
      </c>
      <c r="E5" s="29">
        <v>1</v>
      </c>
      <c r="F5" s="28">
        <f>6.64+5.02</f>
        <v>11.66</v>
      </c>
      <c r="G5" s="29">
        <v>2</v>
      </c>
      <c r="H5" s="28">
        <f>7.3+7.1+7.78+4.56</f>
        <v>26.74</v>
      </c>
      <c r="I5" s="29">
        <v>4</v>
      </c>
      <c r="J5" s="30">
        <f t="shared" ref="J5:J34" si="0">+B5+D5+F5+H5</f>
        <v>40.64</v>
      </c>
      <c r="K5" s="14">
        <f t="shared" ref="K5:K34" si="1">+C5+E5+G5+I5</f>
        <v>7</v>
      </c>
    </row>
    <row r="6" spans="1:15" s="24" customFormat="1" ht="22.5" customHeight="1" x14ac:dyDescent="0.15">
      <c r="A6" s="27" t="s">
        <v>17</v>
      </c>
      <c r="B6" s="28">
        <v>8.06</v>
      </c>
      <c r="C6" s="29">
        <v>1</v>
      </c>
      <c r="D6" s="28">
        <v>0</v>
      </c>
      <c r="E6" s="29">
        <v>0</v>
      </c>
      <c r="F6" s="28">
        <f>7.08+6.78</f>
        <v>13.86</v>
      </c>
      <c r="G6" s="29">
        <v>2</v>
      </c>
      <c r="H6" s="28">
        <f>7+9.14+6.5+5.94</f>
        <v>28.58</v>
      </c>
      <c r="I6" s="29">
        <v>4</v>
      </c>
      <c r="J6" s="30">
        <f t="shared" si="0"/>
        <v>50.5</v>
      </c>
      <c r="K6" s="14">
        <f t="shared" si="1"/>
        <v>7</v>
      </c>
      <c r="N6" s="45"/>
      <c r="O6" s="45"/>
    </row>
    <row r="7" spans="1:15" s="24" customFormat="1" ht="22.5" customHeight="1" x14ac:dyDescent="0.15">
      <c r="A7" s="27" t="s">
        <v>18</v>
      </c>
      <c r="B7" s="28">
        <v>0</v>
      </c>
      <c r="C7" s="29">
        <v>0</v>
      </c>
      <c r="D7" s="28">
        <f>3.28+1.58</f>
        <v>4.8600000000000003</v>
      </c>
      <c r="E7" s="29">
        <v>2</v>
      </c>
      <c r="F7" s="28">
        <f>6.62+4.32+4.82</f>
        <v>15.76</v>
      </c>
      <c r="G7" s="29">
        <v>3</v>
      </c>
      <c r="H7" s="28">
        <f>8.28+8.78</f>
        <v>17.059999999999999</v>
      </c>
      <c r="I7" s="29">
        <v>2</v>
      </c>
      <c r="J7" s="30">
        <f t="shared" si="0"/>
        <v>37.68</v>
      </c>
      <c r="K7" s="14">
        <f t="shared" si="1"/>
        <v>7</v>
      </c>
      <c r="N7" s="45"/>
      <c r="O7" s="45"/>
    </row>
    <row r="8" spans="1:15" s="24" customFormat="1" ht="22.5" customHeight="1" x14ac:dyDescent="0.15">
      <c r="A8" s="27" t="s">
        <v>19</v>
      </c>
      <c r="B8" s="28">
        <f>6.88+6.66</f>
        <v>13.54</v>
      </c>
      <c r="C8" s="29">
        <v>2</v>
      </c>
      <c r="D8" s="28">
        <v>0</v>
      </c>
      <c r="E8" s="29">
        <v>0</v>
      </c>
      <c r="F8" s="28">
        <f>5.76+5.66</f>
        <v>11.42</v>
      </c>
      <c r="G8" s="29">
        <v>2</v>
      </c>
      <c r="H8" s="28">
        <f>7.4+8.64+5.98+7.96</f>
        <v>29.98</v>
      </c>
      <c r="I8" s="29">
        <v>4</v>
      </c>
      <c r="J8" s="30">
        <f t="shared" si="0"/>
        <v>54.94</v>
      </c>
      <c r="K8" s="14">
        <f t="shared" si="1"/>
        <v>8</v>
      </c>
      <c r="N8" s="45"/>
      <c r="O8" s="45"/>
    </row>
    <row r="9" spans="1:15" s="24" customFormat="1" ht="22.5" customHeight="1" x14ac:dyDescent="0.15">
      <c r="A9" s="27" t="s">
        <v>20</v>
      </c>
      <c r="B9" s="28">
        <v>0</v>
      </c>
      <c r="C9" s="29">
        <v>0</v>
      </c>
      <c r="D9" s="28">
        <v>0</v>
      </c>
      <c r="E9" s="29">
        <v>0</v>
      </c>
      <c r="F9" s="28">
        <f>5.48+5.56+4.96</f>
        <v>16</v>
      </c>
      <c r="G9" s="29">
        <v>3</v>
      </c>
      <c r="H9" s="28">
        <f>6.92+7.22+7.42</f>
        <v>21.56</v>
      </c>
      <c r="I9" s="29">
        <v>3</v>
      </c>
      <c r="J9" s="30">
        <f t="shared" si="0"/>
        <v>37.56</v>
      </c>
      <c r="K9" s="14">
        <f t="shared" si="1"/>
        <v>6</v>
      </c>
      <c r="N9" s="45"/>
      <c r="O9" s="45"/>
    </row>
    <row r="10" spans="1:15" s="24" customFormat="1" ht="22.5" customHeight="1" x14ac:dyDescent="0.15">
      <c r="A10" s="27" t="s">
        <v>21</v>
      </c>
      <c r="B10" s="28">
        <f>6.3+6.5</f>
        <v>12.8</v>
      </c>
      <c r="C10" s="29">
        <v>2</v>
      </c>
      <c r="D10" s="28">
        <v>4.78</v>
      </c>
      <c r="E10" s="29">
        <v>1</v>
      </c>
      <c r="F10" s="28">
        <f>5.44+4.72+5.48</f>
        <v>15.64</v>
      </c>
      <c r="G10" s="29">
        <v>3</v>
      </c>
      <c r="H10" s="28">
        <f>6.76+9.22+7.72+9.44</f>
        <v>33.14</v>
      </c>
      <c r="I10" s="29">
        <v>4</v>
      </c>
      <c r="J10" s="30">
        <f t="shared" si="0"/>
        <v>66.36</v>
      </c>
      <c r="K10" s="14">
        <f t="shared" si="1"/>
        <v>10</v>
      </c>
      <c r="N10" s="45"/>
      <c r="O10" s="45"/>
    </row>
    <row r="11" spans="1:15" s="24" customFormat="1" ht="22.5" customHeight="1" x14ac:dyDescent="0.15">
      <c r="A11" s="27" t="s">
        <v>22</v>
      </c>
      <c r="B11" s="28">
        <v>8.36</v>
      </c>
      <c r="C11" s="29">
        <v>1</v>
      </c>
      <c r="D11" s="28">
        <f>3.96+3.06</f>
        <v>7.02</v>
      </c>
      <c r="E11" s="29">
        <v>2</v>
      </c>
      <c r="F11" s="28">
        <f>5+4.5+5.52</f>
        <v>15.02</v>
      </c>
      <c r="G11" s="29">
        <v>3</v>
      </c>
      <c r="H11" s="28">
        <f>7.48+7.48+7.62+8.1</f>
        <v>30.68</v>
      </c>
      <c r="I11" s="29">
        <v>4</v>
      </c>
      <c r="J11" s="30">
        <f t="shared" si="0"/>
        <v>61.08</v>
      </c>
      <c r="K11" s="14">
        <f t="shared" si="1"/>
        <v>10</v>
      </c>
      <c r="N11" s="45"/>
      <c r="O11" s="45"/>
    </row>
    <row r="12" spans="1:15" s="24" customFormat="1" ht="22.5" customHeight="1" x14ac:dyDescent="0.15">
      <c r="A12" s="27" t="s">
        <v>23</v>
      </c>
      <c r="B12" s="28">
        <v>9.0399999999999991</v>
      </c>
      <c r="C12" s="29">
        <v>1</v>
      </c>
      <c r="D12" s="28">
        <v>3.3</v>
      </c>
      <c r="E12" s="29">
        <v>1</v>
      </c>
      <c r="F12" s="28">
        <f>5.2+4.78+5.5</f>
        <v>15.48</v>
      </c>
      <c r="G12" s="29">
        <v>3</v>
      </c>
      <c r="H12" s="28">
        <f>7.16+6.76+6.3+9.1</f>
        <v>29.32</v>
      </c>
      <c r="I12" s="29">
        <v>4</v>
      </c>
      <c r="J12" s="30">
        <f t="shared" si="0"/>
        <v>57.14</v>
      </c>
      <c r="K12" s="14">
        <f t="shared" si="1"/>
        <v>9</v>
      </c>
      <c r="N12" s="45"/>
      <c r="O12" s="45"/>
    </row>
    <row r="13" spans="1:15" s="24" customFormat="1" ht="22.5" customHeight="1" x14ac:dyDescent="0.15">
      <c r="A13" s="27" t="s">
        <v>24</v>
      </c>
      <c r="B13" s="28">
        <v>6.66</v>
      </c>
      <c r="C13" s="29">
        <v>1</v>
      </c>
      <c r="D13" s="28">
        <v>3.42</v>
      </c>
      <c r="E13" s="29">
        <v>1</v>
      </c>
      <c r="F13" s="28">
        <f>5.14+5.26+6.54</f>
        <v>16.940000000000001</v>
      </c>
      <c r="G13" s="29">
        <v>3</v>
      </c>
      <c r="H13" s="28">
        <f>7.02+9.68+8.46</f>
        <v>25.16</v>
      </c>
      <c r="I13" s="29">
        <v>3</v>
      </c>
      <c r="J13" s="30">
        <f t="shared" si="0"/>
        <v>52.18</v>
      </c>
      <c r="K13" s="14">
        <f t="shared" si="1"/>
        <v>8</v>
      </c>
      <c r="N13" s="45"/>
      <c r="O13" s="45"/>
    </row>
    <row r="14" spans="1:15" s="24" customFormat="1" ht="22.5" customHeight="1" x14ac:dyDescent="0.15">
      <c r="A14" s="27" t="s">
        <v>25</v>
      </c>
      <c r="B14" s="28">
        <f>6.06+6.68</f>
        <v>12.74</v>
      </c>
      <c r="C14" s="29">
        <v>2</v>
      </c>
      <c r="D14" s="28">
        <v>0</v>
      </c>
      <c r="E14" s="29">
        <v>0</v>
      </c>
      <c r="F14" s="28">
        <f>6.06+5.86+6.24</f>
        <v>18.16</v>
      </c>
      <c r="G14" s="29">
        <v>3</v>
      </c>
      <c r="H14" s="28">
        <f>9.3+7.4+9.24</f>
        <v>25.94</v>
      </c>
      <c r="I14" s="29">
        <v>4</v>
      </c>
      <c r="J14" s="30">
        <f t="shared" si="0"/>
        <v>56.84</v>
      </c>
      <c r="K14" s="14">
        <f t="shared" si="1"/>
        <v>9</v>
      </c>
      <c r="N14" s="45"/>
      <c r="O14" s="45"/>
    </row>
    <row r="15" spans="1:15" s="24" customFormat="1" ht="22.5" customHeight="1" x14ac:dyDescent="0.15">
      <c r="A15" s="27" t="s">
        <v>26</v>
      </c>
      <c r="B15" s="28">
        <v>0</v>
      </c>
      <c r="C15" s="29">
        <v>0</v>
      </c>
      <c r="D15" s="28">
        <v>3.76</v>
      </c>
      <c r="E15" s="29">
        <v>1</v>
      </c>
      <c r="F15" s="28">
        <f>6.46+4.76+5.38</f>
        <v>16.600000000000001</v>
      </c>
      <c r="G15" s="29">
        <v>3</v>
      </c>
      <c r="H15" s="28">
        <f>6.86+8.24+7.86+6.68</f>
        <v>29.64</v>
      </c>
      <c r="I15" s="29">
        <v>4</v>
      </c>
      <c r="J15" s="30">
        <f t="shared" si="0"/>
        <v>50</v>
      </c>
      <c r="K15" s="14">
        <f t="shared" si="1"/>
        <v>8</v>
      </c>
      <c r="N15" s="45"/>
      <c r="O15" s="45"/>
    </row>
    <row r="16" spans="1:15" s="24" customFormat="1" ht="22.5" customHeight="1" x14ac:dyDescent="0.15">
      <c r="A16" s="27" t="s">
        <v>27</v>
      </c>
      <c r="B16" s="28">
        <f>6.8+8.58</f>
        <v>15.38</v>
      </c>
      <c r="C16" s="29">
        <v>2</v>
      </c>
      <c r="D16" s="28">
        <v>3.22</v>
      </c>
      <c r="E16" s="29">
        <v>1</v>
      </c>
      <c r="F16" s="28">
        <f>4.68+4.94+5.52</f>
        <v>15.14</v>
      </c>
      <c r="G16" s="29">
        <v>3</v>
      </c>
      <c r="H16" s="28">
        <f>7.32+8.56+7.9+8.22</f>
        <v>32</v>
      </c>
      <c r="I16" s="29">
        <v>4</v>
      </c>
      <c r="J16" s="30">
        <f t="shared" si="0"/>
        <v>65.739999999999995</v>
      </c>
      <c r="K16" s="14">
        <f t="shared" si="1"/>
        <v>10</v>
      </c>
      <c r="N16" s="45"/>
      <c r="O16" s="45"/>
    </row>
    <row r="17" spans="1:15" s="24" customFormat="1" ht="22.5" customHeight="1" x14ac:dyDescent="0.15">
      <c r="A17" s="27" t="s">
        <v>28</v>
      </c>
      <c r="B17" s="28">
        <v>0</v>
      </c>
      <c r="C17" s="29">
        <v>0</v>
      </c>
      <c r="D17" s="28">
        <v>3.12</v>
      </c>
      <c r="E17" s="29">
        <v>1</v>
      </c>
      <c r="F17" s="28">
        <f>5.74+4.58+5.66</f>
        <v>15.98</v>
      </c>
      <c r="G17" s="29">
        <v>3</v>
      </c>
      <c r="H17" s="28">
        <f>7.32+6.96+7.74+6.98</f>
        <v>29</v>
      </c>
      <c r="I17" s="29">
        <v>4</v>
      </c>
      <c r="J17" s="30">
        <f t="shared" si="0"/>
        <v>48.1</v>
      </c>
      <c r="K17" s="14">
        <f t="shared" si="1"/>
        <v>8</v>
      </c>
      <c r="N17" s="45"/>
      <c r="O17" s="45"/>
    </row>
    <row r="18" spans="1:15" s="24" customFormat="1" ht="22.5" customHeight="1" x14ac:dyDescent="0.15">
      <c r="A18" s="27" t="s">
        <v>29</v>
      </c>
      <c r="B18" s="28">
        <f>7.54+8.8</f>
        <v>16.34</v>
      </c>
      <c r="C18" s="29">
        <v>2</v>
      </c>
      <c r="D18" s="28">
        <v>4.12</v>
      </c>
      <c r="E18" s="29">
        <v>1</v>
      </c>
      <c r="F18" s="28">
        <f>5.22+4.98</f>
        <v>10.199999999999999</v>
      </c>
      <c r="G18" s="29">
        <v>2</v>
      </c>
      <c r="H18" s="28">
        <f>7.22+8.24+7.92+8.56</f>
        <v>31.94</v>
      </c>
      <c r="I18" s="29">
        <v>4</v>
      </c>
      <c r="J18" s="30">
        <f t="shared" si="0"/>
        <v>62.6</v>
      </c>
      <c r="K18" s="14">
        <f t="shared" si="1"/>
        <v>9</v>
      </c>
      <c r="N18" s="45"/>
      <c r="O18" s="45"/>
    </row>
    <row r="19" spans="1:15" s="24" customFormat="1" ht="22.5" customHeight="1" x14ac:dyDescent="0.15">
      <c r="A19" s="27" t="s">
        <v>30</v>
      </c>
      <c r="B19" s="28">
        <v>0</v>
      </c>
      <c r="C19" s="29">
        <v>0</v>
      </c>
      <c r="D19" s="28">
        <v>4.5599999999999996</v>
      </c>
      <c r="E19" s="29">
        <v>1</v>
      </c>
      <c r="F19" s="28">
        <f>7.14+5.8+6</f>
        <v>18.940000000000001</v>
      </c>
      <c r="G19" s="29">
        <v>3</v>
      </c>
      <c r="H19" s="28">
        <f>7.3+7.16+7.84+7.44</f>
        <v>29.74</v>
      </c>
      <c r="I19" s="29">
        <v>4</v>
      </c>
      <c r="J19" s="30">
        <f t="shared" si="0"/>
        <v>53.24</v>
      </c>
      <c r="K19" s="14">
        <f t="shared" si="1"/>
        <v>8</v>
      </c>
      <c r="N19" s="45"/>
      <c r="O19" s="45"/>
    </row>
    <row r="20" spans="1:15" s="24" customFormat="1" ht="22.5" customHeight="1" x14ac:dyDescent="0.15">
      <c r="A20" s="27" t="s">
        <v>31</v>
      </c>
      <c r="B20" s="28">
        <f>8.5+6.34</f>
        <v>14.84</v>
      </c>
      <c r="C20" s="29">
        <v>2</v>
      </c>
      <c r="D20" s="28">
        <v>2.66</v>
      </c>
      <c r="E20" s="29">
        <v>1</v>
      </c>
      <c r="F20" s="28">
        <f>5.24+5.78+5.6</f>
        <v>16.62</v>
      </c>
      <c r="G20" s="29">
        <v>3</v>
      </c>
      <c r="H20" s="28">
        <f>7.4+9.24+7.16+8.94</f>
        <v>32.74</v>
      </c>
      <c r="I20" s="29">
        <v>4</v>
      </c>
      <c r="J20" s="30">
        <f t="shared" si="0"/>
        <v>66.86</v>
      </c>
      <c r="K20" s="14">
        <f t="shared" si="1"/>
        <v>10</v>
      </c>
      <c r="N20" s="45"/>
      <c r="O20" s="45"/>
    </row>
    <row r="21" spans="1:15" s="24" customFormat="1" ht="22.5" customHeight="1" x14ac:dyDescent="0.15">
      <c r="A21" s="27" t="s">
        <v>32</v>
      </c>
      <c r="B21" s="28">
        <v>6.8</v>
      </c>
      <c r="C21" s="29">
        <v>1</v>
      </c>
      <c r="D21" s="28">
        <v>2.04</v>
      </c>
      <c r="E21" s="29">
        <v>1</v>
      </c>
      <c r="F21" s="28">
        <f>5.86+5.36+6.46</f>
        <v>17.68</v>
      </c>
      <c r="G21" s="29">
        <v>3</v>
      </c>
      <c r="H21" s="28">
        <f>9.96+8.6</f>
        <v>18.559999999999999</v>
      </c>
      <c r="I21" s="29">
        <v>2</v>
      </c>
      <c r="J21" s="30">
        <f t="shared" si="0"/>
        <v>45.08</v>
      </c>
      <c r="K21" s="14">
        <f t="shared" si="1"/>
        <v>7</v>
      </c>
      <c r="N21" s="45"/>
      <c r="O21" s="45"/>
    </row>
    <row r="22" spans="1:15" s="24" customFormat="1" ht="22.5" customHeight="1" x14ac:dyDescent="0.15">
      <c r="A22" s="27" t="s">
        <v>33</v>
      </c>
      <c r="B22" s="28">
        <v>7.46</v>
      </c>
      <c r="C22" s="29">
        <v>1</v>
      </c>
      <c r="D22" s="28">
        <v>0</v>
      </c>
      <c r="E22" s="29">
        <v>0</v>
      </c>
      <c r="F22" s="28">
        <f>6.2+5.88+6.56</f>
        <v>18.64</v>
      </c>
      <c r="G22" s="29">
        <v>3</v>
      </c>
      <c r="H22" s="28">
        <f>7.48+8.16+8+8.54</f>
        <v>32.18</v>
      </c>
      <c r="I22" s="29">
        <v>4</v>
      </c>
      <c r="J22" s="30">
        <f t="shared" si="0"/>
        <v>58.28</v>
      </c>
      <c r="K22" s="14">
        <f t="shared" si="1"/>
        <v>8</v>
      </c>
      <c r="N22" s="45"/>
      <c r="O22" s="45"/>
    </row>
    <row r="23" spans="1:15" s="24" customFormat="1" ht="22.5" customHeight="1" x14ac:dyDescent="0.15">
      <c r="A23" s="27" t="s">
        <v>34</v>
      </c>
      <c r="B23" s="28">
        <v>8.0399999999999991</v>
      </c>
      <c r="C23" s="29">
        <v>1</v>
      </c>
      <c r="D23" s="50">
        <v>4.5199999999999996</v>
      </c>
      <c r="E23" s="51">
        <v>1</v>
      </c>
      <c r="F23" s="28">
        <f>5.8+4.2</f>
        <v>10</v>
      </c>
      <c r="G23" s="29">
        <v>2</v>
      </c>
      <c r="H23" s="28">
        <f>7.5+8.02+7.82+7.5</f>
        <v>30.84</v>
      </c>
      <c r="I23" s="29">
        <v>4</v>
      </c>
      <c r="J23" s="30">
        <f t="shared" si="0"/>
        <v>53.4</v>
      </c>
      <c r="K23" s="14">
        <f t="shared" si="1"/>
        <v>8</v>
      </c>
      <c r="N23" s="45"/>
      <c r="O23" s="45"/>
    </row>
    <row r="24" spans="1:15" s="24" customFormat="1" ht="22.5" customHeight="1" x14ac:dyDescent="0.15">
      <c r="A24" s="27" t="s">
        <v>35</v>
      </c>
      <c r="B24" s="28">
        <v>7.08</v>
      </c>
      <c r="C24" s="29">
        <v>1</v>
      </c>
      <c r="D24" s="28">
        <v>0</v>
      </c>
      <c r="E24" s="29">
        <v>0</v>
      </c>
      <c r="F24" s="28">
        <f>6.94+5.34+6.54</f>
        <v>18.82</v>
      </c>
      <c r="G24" s="29">
        <v>3</v>
      </c>
      <c r="H24" s="28">
        <f>7.4+7.48+7.88+9.24</f>
        <v>32</v>
      </c>
      <c r="I24" s="29">
        <v>4</v>
      </c>
      <c r="J24" s="30">
        <f t="shared" si="0"/>
        <v>57.9</v>
      </c>
      <c r="K24" s="14">
        <f t="shared" si="1"/>
        <v>8</v>
      </c>
      <c r="N24" s="45"/>
      <c r="O24" s="45"/>
    </row>
    <row r="25" spans="1:15" s="24" customFormat="1" ht="22.5" customHeight="1" x14ac:dyDescent="0.15">
      <c r="A25" s="27" t="s">
        <v>36</v>
      </c>
      <c r="B25" s="28">
        <v>7.34</v>
      </c>
      <c r="C25" s="29">
        <v>1</v>
      </c>
      <c r="D25" s="28">
        <v>3.42</v>
      </c>
      <c r="E25" s="29">
        <v>1</v>
      </c>
      <c r="F25" s="28">
        <f>4.64+6.1</f>
        <v>10.74</v>
      </c>
      <c r="G25" s="29">
        <v>2</v>
      </c>
      <c r="H25" s="28">
        <f>7.56+8.08+7.72+8.6</f>
        <v>31.96</v>
      </c>
      <c r="I25" s="29">
        <v>4</v>
      </c>
      <c r="J25" s="30">
        <f t="shared" si="0"/>
        <v>53.46</v>
      </c>
      <c r="K25" s="14">
        <f t="shared" si="1"/>
        <v>8</v>
      </c>
      <c r="N25" s="45"/>
      <c r="O25" s="45"/>
    </row>
    <row r="26" spans="1:15" s="24" customFormat="1" ht="22.5" customHeight="1" x14ac:dyDescent="0.15">
      <c r="A26" s="27" t="s">
        <v>37</v>
      </c>
      <c r="B26" s="28">
        <f>6.66+5.9</f>
        <v>12.56</v>
      </c>
      <c r="C26" s="29">
        <v>2</v>
      </c>
      <c r="D26" s="28">
        <v>4.08</v>
      </c>
      <c r="E26" s="29">
        <v>1</v>
      </c>
      <c r="F26" s="28">
        <f>6.16+5.38+5.8</f>
        <v>17.34</v>
      </c>
      <c r="G26" s="29">
        <v>3</v>
      </c>
      <c r="H26" s="28">
        <f>6.98+7.58+7.72+8.56</f>
        <v>30.84</v>
      </c>
      <c r="I26" s="29">
        <v>4</v>
      </c>
      <c r="J26" s="30">
        <f t="shared" si="0"/>
        <v>64.819999999999993</v>
      </c>
      <c r="K26" s="14">
        <f t="shared" si="1"/>
        <v>10</v>
      </c>
      <c r="N26" s="45"/>
      <c r="O26" s="45"/>
    </row>
    <row r="27" spans="1:15" s="24" customFormat="1" ht="22.5" customHeight="1" x14ac:dyDescent="0.15">
      <c r="A27" s="27" t="s">
        <v>38</v>
      </c>
      <c r="B27" s="28">
        <v>8.48</v>
      </c>
      <c r="C27" s="29">
        <v>1</v>
      </c>
      <c r="D27" s="28">
        <v>3.66</v>
      </c>
      <c r="E27" s="29">
        <v>1</v>
      </c>
      <c r="F27" s="28">
        <f>5.86+5.28+4.44</f>
        <v>15.58</v>
      </c>
      <c r="G27" s="29">
        <v>3</v>
      </c>
      <c r="H27" s="28">
        <f>8.22+7.34+7.68+9.54</f>
        <v>32.78</v>
      </c>
      <c r="I27" s="29">
        <v>4</v>
      </c>
      <c r="J27" s="30">
        <f t="shared" si="0"/>
        <v>60.5</v>
      </c>
      <c r="K27" s="14">
        <f t="shared" si="1"/>
        <v>9</v>
      </c>
      <c r="N27" s="45"/>
      <c r="O27" s="45"/>
    </row>
    <row r="28" spans="1:15" s="24" customFormat="1" ht="22.5" customHeight="1" x14ac:dyDescent="0.15">
      <c r="A28" s="27" t="s">
        <v>39</v>
      </c>
      <c r="B28" s="28">
        <f>5.2+4.86</f>
        <v>10.06</v>
      </c>
      <c r="C28" s="29">
        <v>2</v>
      </c>
      <c r="D28" s="28">
        <v>3.56</v>
      </c>
      <c r="E28" s="29">
        <v>1</v>
      </c>
      <c r="F28" s="28">
        <f>5.8+6.2+6.36</f>
        <v>18.36</v>
      </c>
      <c r="G28" s="29">
        <v>3</v>
      </c>
      <c r="H28" s="28">
        <f>10.06+7.88</f>
        <v>17.940000000000001</v>
      </c>
      <c r="I28" s="29">
        <v>2</v>
      </c>
      <c r="J28" s="30">
        <f t="shared" si="0"/>
        <v>49.92</v>
      </c>
      <c r="K28" s="14">
        <f t="shared" si="1"/>
        <v>8</v>
      </c>
    </row>
    <row r="29" spans="1:15" s="24" customFormat="1" ht="22.5" customHeight="1" x14ac:dyDescent="0.15">
      <c r="A29" s="27" t="s">
        <v>40</v>
      </c>
      <c r="B29" s="28">
        <v>0</v>
      </c>
      <c r="C29" s="29">
        <v>0</v>
      </c>
      <c r="D29" s="28">
        <v>0</v>
      </c>
      <c r="E29" s="29">
        <v>0</v>
      </c>
      <c r="F29" s="28">
        <f>6.72+5.54+6.1</f>
        <v>18.36</v>
      </c>
      <c r="G29" s="29">
        <v>3</v>
      </c>
      <c r="H29" s="28">
        <f>7.48+7.94+7.9+7.9</f>
        <v>31.22</v>
      </c>
      <c r="I29" s="29">
        <v>4</v>
      </c>
      <c r="J29" s="30">
        <f t="shared" si="0"/>
        <v>49.58</v>
      </c>
      <c r="K29" s="14">
        <f t="shared" si="1"/>
        <v>7</v>
      </c>
    </row>
    <row r="30" spans="1:15" s="24" customFormat="1" ht="22.5" customHeight="1" x14ac:dyDescent="0.15">
      <c r="A30" s="27" t="s">
        <v>41</v>
      </c>
      <c r="B30" s="28">
        <v>7.44</v>
      </c>
      <c r="C30" s="29">
        <v>1</v>
      </c>
      <c r="D30" s="28">
        <v>0</v>
      </c>
      <c r="E30" s="29">
        <v>0</v>
      </c>
      <c r="F30" s="28">
        <f>5.98+4.56</f>
        <v>10.54</v>
      </c>
      <c r="G30" s="29">
        <v>2</v>
      </c>
      <c r="H30" s="28">
        <f>7.52+7.34+7.46+8.72</f>
        <v>31.04</v>
      </c>
      <c r="I30" s="29">
        <v>4</v>
      </c>
      <c r="J30" s="30">
        <f t="shared" si="0"/>
        <v>49.02</v>
      </c>
      <c r="K30" s="14">
        <f t="shared" si="1"/>
        <v>7</v>
      </c>
    </row>
    <row r="31" spans="1:15" s="24" customFormat="1" ht="22.5" customHeight="1" x14ac:dyDescent="0.15">
      <c r="A31" s="27" t="s">
        <v>42</v>
      </c>
      <c r="B31" s="28">
        <v>8.6199999999999992</v>
      </c>
      <c r="C31" s="29">
        <v>1</v>
      </c>
      <c r="D31" s="28">
        <v>3.1</v>
      </c>
      <c r="E31" s="29">
        <v>1</v>
      </c>
      <c r="F31" s="28">
        <f>8.28+5.48+6.18</f>
        <v>19.940000000000001</v>
      </c>
      <c r="G31" s="29">
        <v>3</v>
      </c>
      <c r="H31" s="28">
        <f>7.42+6.88+7.58+8.3</f>
        <v>30.18</v>
      </c>
      <c r="I31" s="29">
        <v>4</v>
      </c>
      <c r="J31" s="30">
        <f t="shared" si="0"/>
        <v>61.84</v>
      </c>
      <c r="K31" s="14">
        <f t="shared" si="1"/>
        <v>9</v>
      </c>
    </row>
    <row r="32" spans="1:15" s="24" customFormat="1" ht="22.5" customHeight="1" x14ac:dyDescent="0.15">
      <c r="A32" s="27" t="s">
        <v>43</v>
      </c>
      <c r="B32" s="28">
        <f>8.36+5.86</f>
        <v>14.22</v>
      </c>
      <c r="C32" s="29">
        <v>2</v>
      </c>
      <c r="D32" s="28">
        <v>0</v>
      </c>
      <c r="E32" s="29">
        <v>0</v>
      </c>
      <c r="F32" s="28">
        <f>5.26+4.94+4.52</f>
        <v>14.72</v>
      </c>
      <c r="G32" s="29">
        <v>3</v>
      </c>
      <c r="H32" s="28">
        <f>7.48+8.98+7.64+9.26</f>
        <v>33.36</v>
      </c>
      <c r="I32" s="29">
        <v>4</v>
      </c>
      <c r="J32" s="30">
        <f t="shared" si="0"/>
        <v>62.3</v>
      </c>
      <c r="K32" s="14">
        <f t="shared" si="1"/>
        <v>9</v>
      </c>
    </row>
    <row r="33" spans="1:15" s="24" customFormat="1" ht="22.5" customHeight="1" x14ac:dyDescent="0.15">
      <c r="A33" s="27" t="s">
        <v>44</v>
      </c>
      <c r="B33" s="28">
        <v>7.42</v>
      </c>
      <c r="C33" s="29">
        <v>1</v>
      </c>
      <c r="D33" s="28">
        <v>5.12</v>
      </c>
      <c r="E33" s="29">
        <v>1</v>
      </c>
      <c r="F33" s="28">
        <f>5.62+4.32</f>
        <v>9.94</v>
      </c>
      <c r="G33" s="29">
        <v>2</v>
      </c>
      <c r="H33" s="28">
        <f>7.3+6.3+7.88+7.52</f>
        <v>29</v>
      </c>
      <c r="I33" s="29">
        <v>4</v>
      </c>
      <c r="J33" s="30">
        <f t="shared" si="0"/>
        <v>51.48</v>
      </c>
      <c r="K33" s="14">
        <f t="shared" si="1"/>
        <v>8</v>
      </c>
    </row>
    <row r="34" spans="1:15" s="24" customFormat="1" ht="22.5" customHeight="1" x14ac:dyDescent="0.15">
      <c r="A34" s="27" t="s">
        <v>45</v>
      </c>
      <c r="B34" s="28">
        <v>7.62</v>
      </c>
      <c r="C34" s="29">
        <v>1</v>
      </c>
      <c r="D34" s="28">
        <v>0</v>
      </c>
      <c r="E34" s="29">
        <v>0</v>
      </c>
      <c r="F34" s="28">
        <f>7.4+6.66+5.54</f>
        <v>19.600000000000001</v>
      </c>
      <c r="G34" s="29">
        <v>3</v>
      </c>
      <c r="H34" s="28">
        <f>7.5+8.52+7.84+9.86</f>
        <v>33.72</v>
      </c>
      <c r="I34" s="29">
        <v>4</v>
      </c>
      <c r="J34" s="30">
        <f t="shared" si="0"/>
        <v>60.94</v>
      </c>
      <c r="K34" s="14">
        <f t="shared" si="1"/>
        <v>8</v>
      </c>
    </row>
    <row r="35" spans="1:15" s="24" customFormat="1" ht="22.5" customHeight="1" x14ac:dyDescent="0.15">
      <c r="A35" s="27" t="s">
        <v>46</v>
      </c>
      <c r="B35" s="28">
        <v>7.28</v>
      </c>
      <c r="C35" s="29">
        <v>1</v>
      </c>
      <c r="D35" s="28">
        <f>3.64+3.34</f>
        <v>6.98</v>
      </c>
      <c r="E35" s="29">
        <v>2</v>
      </c>
      <c r="F35" s="28">
        <f>6.62+5.66+7.04</f>
        <v>19.32</v>
      </c>
      <c r="G35" s="29">
        <v>3</v>
      </c>
      <c r="H35" s="28">
        <v>10.4</v>
      </c>
      <c r="I35" s="29">
        <v>1</v>
      </c>
      <c r="J35" s="30">
        <f>B35+D35+F35+H35</f>
        <v>43.98</v>
      </c>
      <c r="K35" s="14">
        <f>C35+E35+G35+I35</f>
        <v>7</v>
      </c>
    </row>
    <row r="36" spans="1:15" s="24" customFormat="1" ht="25.5" customHeight="1" x14ac:dyDescent="0.15">
      <c r="A36" s="31" t="s">
        <v>13</v>
      </c>
      <c r="B36" s="32">
        <f t="shared" ref="B36:K36" si="2">SUM(B5:B35)</f>
        <v>238.18</v>
      </c>
      <c r="C36" s="48">
        <f t="shared" si="2"/>
        <v>33</v>
      </c>
      <c r="D36" s="32">
        <f t="shared" si="2"/>
        <v>83.54</v>
      </c>
      <c r="E36" s="48">
        <f t="shared" si="2"/>
        <v>24</v>
      </c>
      <c r="F36" s="32">
        <f t="shared" si="2"/>
        <v>483</v>
      </c>
      <c r="G36" s="48">
        <f t="shared" si="2"/>
        <v>85</v>
      </c>
      <c r="H36" s="32">
        <f t="shared" si="2"/>
        <v>879.24</v>
      </c>
      <c r="I36" s="48">
        <f t="shared" si="2"/>
        <v>113</v>
      </c>
      <c r="J36" s="32">
        <f t="shared" si="2"/>
        <v>1683.96</v>
      </c>
      <c r="K36" s="48">
        <f t="shared" si="2"/>
        <v>255</v>
      </c>
      <c r="M36" s="46"/>
      <c r="N36" s="46"/>
      <c r="O36" s="46"/>
    </row>
    <row r="37" spans="1:15" s="25" customFormat="1" ht="21" customHeight="1" x14ac:dyDescent="0.25">
      <c r="A37" s="17" t="s">
        <v>75</v>
      </c>
      <c r="B37" s="17"/>
      <c r="C37" s="17"/>
      <c r="D37" s="40"/>
      <c r="E37" s="40"/>
      <c r="F37" s="40"/>
      <c r="G37" s="40"/>
      <c r="H37" s="40"/>
      <c r="I37" s="40"/>
      <c r="J37" s="42"/>
      <c r="K37" s="42"/>
      <c r="M37" s="49"/>
    </row>
    <row r="38" spans="1:15" x14ac:dyDescent="0.15">
      <c r="A38" s="94"/>
      <c r="B38" s="94"/>
      <c r="C38" s="94"/>
      <c r="D38" s="94"/>
      <c r="E38" s="21"/>
      <c r="F38" s="21"/>
      <c r="G38" s="21"/>
      <c r="H38" s="21"/>
      <c r="I38" s="21"/>
      <c r="M38" s="43"/>
    </row>
    <row r="39" spans="1:15" x14ac:dyDescent="0.15">
      <c r="J39" s="43"/>
      <c r="K39" s="43"/>
    </row>
    <row r="40" spans="1:15" x14ac:dyDescent="0.15">
      <c r="J40" s="44"/>
      <c r="K40" s="44"/>
    </row>
    <row r="41" spans="1:15" x14ac:dyDescent="0.15">
      <c r="H41" s="43"/>
      <c r="I41" s="43"/>
      <c r="J41" s="44"/>
      <c r="K41" s="44"/>
    </row>
  </sheetData>
  <mergeCells count="9">
    <mergeCell ref="A38:D38"/>
    <mergeCell ref="A3:A4"/>
    <mergeCell ref="A1:K1"/>
    <mergeCell ref="D2:K2"/>
    <mergeCell ref="B3:C3"/>
    <mergeCell ref="D3:E3"/>
    <mergeCell ref="F3:G3"/>
    <mergeCell ref="H3:I3"/>
    <mergeCell ref="J3:K3"/>
  </mergeCells>
  <phoneticPr fontId="19" type="noConversion"/>
  <pageMargins left="0.32" right="0.22" top="0.22" bottom="0.23" header="0.21" footer="0.2"/>
  <pageSetup paperSize="9" scale="90" orientation="portrait"/>
  <headerFooter scaleWithDoc="0"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K41"/>
  <sheetViews>
    <sheetView workbookViewId="0">
      <pane xSplit="1" ySplit="4" topLeftCell="B9" activePane="bottomRight" state="frozen"/>
      <selection pane="topRight"/>
      <selection pane="bottomLeft"/>
      <selection pane="bottomRight" activeCell="D21" sqref="D21"/>
    </sheetView>
  </sheetViews>
  <sheetFormatPr defaultColWidth="9" defaultRowHeight="14.25" x14ac:dyDescent="0.15"/>
  <cols>
    <col min="1" max="1" width="5.375" style="1" customWidth="1"/>
    <col min="2" max="2" width="13.375" style="1" customWidth="1"/>
    <col min="3" max="3" width="8.5" style="1" customWidth="1"/>
    <col min="4" max="4" width="13" style="1" customWidth="1"/>
    <col min="5" max="5" width="8.125" style="1" customWidth="1"/>
    <col min="6" max="6" width="14.75" style="1" customWidth="1"/>
    <col min="7" max="7" width="11" style="1" customWidth="1"/>
    <col min="8" max="8" width="9" style="1"/>
    <col min="9" max="9" width="16.125" style="1"/>
    <col min="10" max="10" width="32.75" style="1" customWidth="1"/>
    <col min="11" max="11" width="11.625" style="1"/>
    <col min="12" max="16384" width="9" style="1"/>
  </cols>
  <sheetData>
    <row r="1" spans="1:11" ht="35.25" customHeight="1" x14ac:dyDescent="0.15">
      <c r="A1" s="97" t="s">
        <v>0</v>
      </c>
      <c r="B1" s="97"/>
      <c r="C1" s="97"/>
      <c r="D1" s="97"/>
      <c r="E1" s="97"/>
      <c r="F1" s="97"/>
      <c r="G1" s="97"/>
    </row>
    <row r="2" spans="1:11" s="2" customFormat="1" ht="30" customHeight="1" x14ac:dyDescent="0.15">
      <c r="A2" s="4">
        <v>1000</v>
      </c>
      <c r="B2" s="110" t="s">
        <v>69</v>
      </c>
      <c r="C2" s="110"/>
      <c r="D2" s="110"/>
      <c r="E2" s="110"/>
      <c r="F2" s="110"/>
      <c r="G2" s="110"/>
    </row>
    <row r="3" spans="1:11" s="2" customFormat="1" ht="37.5" customHeight="1" x14ac:dyDescent="0.15">
      <c r="A3" s="109" t="s">
        <v>2</v>
      </c>
      <c r="B3" s="107" t="s">
        <v>73</v>
      </c>
      <c r="C3" s="108"/>
      <c r="D3" s="107" t="s">
        <v>74</v>
      </c>
      <c r="E3" s="108"/>
      <c r="F3" s="100" t="s">
        <v>13</v>
      </c>
      <c r="G3" s="101"/>
    </row>
    <row r="4" spans="1:11" s="2" customFormat="1" ht="24.75" customHeight="1" x14ac:dyDescent="0.15">
      <c r="A4" s="104"/>
      <c r="B4" s="7" t="s">
        <v>14</v>
      </c>
      <c r="C4" s="7" t="s">
        <v>15</v>
      </c>
      <c r="D4" s="7" t="s">
        <v>14</v>
      </c>
      <c r="E4" s="7" t="s">
        <v>15</v>
      </c>
      <c r="F4" s="7" t="s">
        <v>14</v>
      </c>
      <c r="G4" s="7" t="s">
        <v>15</v>
      </c>
    </row>
    <row r="5" spans="1:11" s="24" customFormat="1" ht="22.5" customHeight="1" x14ac:dyDescent="0.15">
      <c r="A5" s="27" t="s">
        <v>16</v>
      </c>
      <c r="B5" s="28">
        <v>0</v>
      </c>
      <c r="C5" s="29">
        <v>0</v>
      </c>
      <c r="D5" s="28">
        <v>0</v>
      </c>
      <c r="E5" s="29">
        <v>0</v>
      </c>
      <c r="F5" s="30">
        <f t="shared" ref="F5:F36" si="0">B5+D5</f>
        <v>0</v>
      </c>
      <c r="G5" s="14">
        <f t="shared" ref="G5:G36" si="1">C5+E5</f>
        <v>0</v>
      </c>
    </row>
    <row r="6" spans="1:11" s="24" customFormat="1" ht="22.5" customHeight="1" x14ac:dyDescent="0.15">
      <c r="A6" s="27" t="s">
        <v>17</v>
      </c>
      <c r="B6" s="28">
        <v>0</v>
      </c>
      <c r="C6" s="29">
        <v>0</v>
      </c>
      <c r="D6" s="28">
        <v>0</v>
      </c>
      <c r="E6" s="29">
        <v>0</v>
      </c>
      <c r="F6" s="30">
        <f t="shared" si="0"/>
        <v>0</v>
      </c>
      <c r="G6" s="14">
        <f t="shared" si="1"/>
        <v>0</v>
      </c>
      <c r="J6" s="45"/>
      <c r="K6" s="45"/>
    </row>
    <row r="7" spans="1:11" s="24" customFormat="1" ht="22.5" customHeight="1" x14ac:dyDescent="0.15">
      <c r="A7" s="27" t="s">
        <v>18</v>
      </c>
      <c r="B7" s="28">
        <v>0</v>
      </c>
      <c r="C7" s="29">
        <v>0</v>
      </c>
      <c r="D7" s="28">
        <v>8.64</v>
      </c>
      <c r="E7" s="29">
        <v>1</v>
      </c>
      <c r="F7" s="30">
        <f t="shared" si="0"/>
        <v>8.64</v>
      </c>
      <c r="G7" s="14">
        <f t="shared" si="1"/>
        <v>1</v>
      </c>
      <c r="J7" s="45"/>
      <c r="K7" s="45"/>
    </row>
    <row r="8" spans="1:11" s="24" customFormat="1" ht="22.5" customHeight="1" x14ac:dyDescent="0.15">
      <c r="A8" s="27" t="s">
        <v>19</v>
      </c>
      <c r="B8" s="28">
        <v>0</v>
      </c>
      <c r="C8" s="29">
        <v>0</v>
      </c>
      <c r="D8" s="28">
        <v>0</v>
      </c>
      <c r="E8" s="29">
        <v>0</v>
      </c>
      <c r="F8" s="30">
        <f t="shared" si="0"/>
        <v>0</v>
      </c>
      <c r="G8" s="14">
        <f t="shared" si="1"/>
        <v>0</v>
      </c>
      <c r="J8" s="45"/>
      <c r="K8" s="45"/>
    </row>
    <row r="9" spans="1:11" s="24" customFormat="1" ht="22.5" customHeight="1" x14ac:dyDescent="0.15">
      <c r="A9" s="27" t="s">
        <v>20</v>
      </c>
      <c r="B9" s="28">
        <v>0</v>
      </c>
      <c r="C9" s="29">
        <v>0</v>
      </c>
      <c r="D9" s="28">
        <v>0</v>
      </c>
      <c r="E9" s="29">
        <v>0</v>
      </c>
      <c r="F9" s="30">
        <f t="shared" si="0"/>
        <v>0</v>
      </c>
      <c r="G9" s="14">
        <f t="shared" si="1"/>
        <v>0</v>
      </c>
      <c r="J9" s="45"/>
      <c r="K9" s="45"/>
    </row>
    <row r="10" spans="1:11" s="24" customFormat="1" ht="22.5" customHeight="1" x14ac:dyDescent="0.15">
      <c r="A10" s="27" t="s">
        <v>21</v>
      </c>
      <c r="B10" s="28">
        <v>0</v>
      </c>
      <c r="C10" s="29">
        <v>0</v>
      </c>
      <c r="D10" s="28">
        <v>0</v>
      </c>
      <c r="E10" s="29">
        <v>0</v>
      </c>
      <c r="F10" s="30">
        <f t="shared" si="0"/>
        <v>0</v>
      </c>
      <c r="G10" s="14">
        <f t="shared" si="1"/>
        <v>0</v>
      </c>
      <c r="J10" s="45"/>
      <c r="K10" s="45"/>
    </row>
    <row r="11" spans="1:11" s="24" customFormat="1" ht="22.5" customHeight="1" x14ac:dyDescent="0.15">
      <c r="A11" s="27" t="s">
        <v>22</v>
      </c>
      <c r="B11" s="28">
        <v>0</v>
      </c>
      <c r="C11" s="29">
        <v>0</v>
      </c>
      <c r="D11" s="28">
        <v>0</v>
      </c>
      <c r="E11" s="29">
        <v>0</v>
      </c>
      <c r="F11" s="30">
        <f t="shared" si="0"/>
        <v>0</v>
      </c>
      <c r="G11" s="14">
        <f t="shared" si="1"/>
        <v>0</v>
      </c>
      <c r="J11" s="45"/>
      <c r="K11" s="45"/>
    </row>
    <row r="12" spans="1:11" s="24" customFormat="1" ht="22.5" customHeight="1" x14ac:dyDescent="0.15">
      <c r="A12" s="27" t="s">
        <v>23</v>
      </c>
      <c r="B12" s="28">
        <v>0</v>
      </c>
      <c r="C12" s="29">
        <v>0</v>
      </c>
      <c r="D12" s="28">
        <v>0</v>
      </c>
      <c r="E12" s="29">
        <v>0</v>
      </c>
      <c r="F12" s="30">
        <f t="shared" si="0"/>
        <v>0</v>
      </c>
      <c r="G12" s="14">
        <f t="shared" si="1"/>
        <v>0</v>
      </c>
      <c r="J12" s="45"/>
      <c r="K12" s="45"/>
    </row>
    <row r="13" spans="1:11" s="24" customFormat="1" ht="22.5" customHeight="1" x14ac:dyDescent="0.15">
      <c r="A13" s="27" t="s">
        <v>24</v>
      </c>
      <c r="B13" s="28">
        <v>0</v>
      </c>
      <c r="C13" s="29">
        <v>0</v>
      </c>
      <c r="D13" s="28">
        <v>0</v>
      </c>
      <c r="E13" s="29">
        <v>0</v>
      </c>
      <c r="F13" s="30">
        <f t="shared" si="0"/>
        <v>0</v>
      </c>
      <c r="G13" s="14">
        <f t="shared" si="1"/>
        <v>0</v>
      </c>
      <c r="J13" s="45"/>
      <c r="K13" s="45"/>
    </row>
    <row r="14" spans="1:11" s="24" customFormat="1" ht="22.5" customHeight="1" x14ac:dyDescent="0.15">
      <c r="A14" s="27" t="s">
        <v>25</v>
      </c>
      <c r="B14" s="28">
        <v>0</v>
      </c>
      <c r="C14" s="29">
        <v>0</v>
      </c>
      <c r="D14" s="28">
        <v>9.16</v>
      </c>
      <c r="E14" s="29">
        <v>1</v>
      </c>
      <c r="F14" s="30">
        <f t="shared" si="0"/>
        <v>9.16</v>
      </c>
      <c r="G14" s="14">
        <f t="shared" si="1"/>
        <v>1</v>
      </c>
      <c r="J14" s="45"/>
      <c r="K14" s="45"/>
    </row>
    <row r="15" spans="1:11" s="24" customFormat="1" ht="22.5" customHeight="1" x14ac:dyDescent="0.15">
      <c r="A15" s="27" t="s">
        <v>26</v>
      </c>
      <c r="B15" s="28">
        <v>0</v>
      </c>
      <c r="C15" s="29">
        <v>0</v>
      </c>
      <c r="D15" s="28">
        <v>0</v>
      </c>
      <c r="E15" s="29">
        <v>0</v>
      </c>
      <c r="F15" s="30">
        <f t="shared" si="0"/>
        <v>0</v>
      </c>
      <c r="G15" s="14">
        <f t="shared" si="1"/>
        <v>0</v>
      </c>
      <c r="J15" s="45"/>
      <c r="K15" s="45"/>
    </row>
    <row r="16" spans="1:11" s="24" customFormat="1" ht="22.5" customHeight="1" x14ac:dyDescent="0.15">
      <c r="A16" s="27" t="s">
        <v>27</v>
      </c>
      <c r="B16" s="28">
        <v>0</v>
      </c>
      <c r="C16" s="29">
        <v>0</v>
      </c>
      <c r="D16" s="28">
        <v>0</v>
      </c>
      <c r="E16" s="29">
        <v>0</v>
      </c>
      <c r="F16" s="30">
        <f t="shared" si="0"/>
        <v>0</v>
      </c>
      <c r="G16" s="14">
        <f t="shared" si="1"/>
        <v>0</v>
      </c>
      <c r="J16" s="45"/>
      <c r="K16" s="45"/>
    </row>
    <row r="17" spans="1:11" s="24" customFormat="1" ht="22.5" customHeight="1" x14ac:dyDescent="0.15">
      <c r="A17" s="27" t="s">
        <v>28</v>
      </c>
      <c r="B17" s="28">
        <v>0</v>
      </c>
      <c r="C17" s="29">
        <v>0</v>
      </c>
      <c r="D17" s="28">
        <v>0</v>
      </c>
      <c r="E17" s="29">
        <v>0</v>
      </c>
      <c r="F17" s="30">
        <f t="shared" si="0"/>
        <v>0</v>
      </c>
      <c r="G17" s="14">
        <f t="shared" si="1"/>
        <v>0</v>
      </c>
      <c r="J17" s="45"/>
      <c r="K17" s="45"/>
    </row>
    <row r="18" spans="1:11" s="24" customFormat="1" ht="22.5" customHeight="1" x14ac:dyDescent="0.15">
      <c r="A18" s="27" t="s">
        <v>29</v>
      </c>
      <c r="B18" s="28">
        <v>0</v>
      </c>
      <c r="C18" s="29">
        <v>0</v>
      </c>
      <c r="D18" s="28">
        <v>0</v>
      </c>
      <c r="E18" s="29">
        <v>0</v>
      </c>
      <c r="F18" s="30">
        <f t="shared" si="0"/>
        <v>0</v>
      </c>
      <c r="G18" s="14">
        <f t="shared" si="1"/>
        <v>0</v>
      </c>
      <c r="J18" s="45"/>
      <c r="K18" s="45"/>
    </row>
    <row r="19" spans="1:11" s="24" customFormat="1" ht="22.5" customHeight="1" x14ac:dyDescent="0.15">
      <c r="A19" s="27" t="s">
        <v>30</v>
      </c>
      <c r="B19" s="28">
        <v>0</v>
      </c>
      <c r="C19" s="29">
        <v>0</v>
      </c>
      <c r="D19" s="28">
        <v>0</v>
      </c>
      <c r="E19" s="29">
        <v>0</v>
      </c>
      <c r="F19" s="30">
        <f t="shared" si="0"/>
        <v>0</v>
      </c>
      <c r="G19" s="14">
        <f t="shared" si="1"/>
        <v>0</v>
      </c>
      <c r="J19" s="45"/>
      <c r="K19" s="45"/>
    </row>
    <row r="20" spans="1:11" s="24" customFormat="1" ht="22.5" customHeight="1" x14ac:dyDescent="0.15">
      <c r="A20" s="27" t="s">
        <v>31</v>
      </c>
      <c r="B20" s="28">
        <v>0</v>
      </c>
      <c r="C20" s="29">
        <v>0</v>
      </c>
      <c r="D20" s="28">
        <v>0</v>
      </c>
      <c r="E20" s="29">
        <v>0</v>
      </c>
      <c r="F20" s="30">
        <f t="shared" si="0"/>
        <v>0</v>
      </c>
      <c r="G20" s="14">
        <f t="shared" si="1"/>
        <v>0</v>
      </c>
      <c r="J20" s="45"/>
      <c r="K20" s="45"/>
    </row>
    <row r="21" spans="1:11" s="24" customFormat="1" ht="22.5" customHeight="1" x14ac:dyDescent="0.15">
      <c r="A21" s="27" t="s">
        <v>32</v>
      </c>
      <c r="B21" s="28">
        <v>0</v>
      </c>
      <c r="C21" s="29">
        <v>0</v>
      </c>
      <c r="D21" s="28">
        <v>9.0399999999999991</v>
      </c>
      <c r="E21" s="29">
        <v>1</v>
      </c>
      <c r="F21" s="30">
        <f t="shared" si="0"/>
        <v>9.0399999999999991</v>
      </c>
      <c r="G21" s="14">
        <f t="shared" si="1"/>
        <v>1</v>
      </c>
      <c r="J21" s="45"/>
      <c r="K21" s="45"/>
    </row>
    <row r="22" spans="1:11" s="24" customFormat="1" ht="22.5" customHeight="1" x14ac:dyDescent="0.15">
      <c r="A22" s="27" t="s">
        <v>33</v>
      </c>
      <c r="B22" s="28">
        <v>0</v>
      </c>
      <c r="C22" s="29">
        <v>0</v>
      </c>
      <c r="D22" s="28">
        <v>0</v>
      </c>
      <c r="E22" s="29">
        <v>0</v>
      </c>
      <c r="F22" s="30">
        <f t="shared" si="0"/>
        <v>0</v>
      </c>
      <c r="G22" s="14">
        <f t="shared" si="1"/>
        <v>0</v>
      </c>
      <c r="J22" s="45"/>
      <c r="K22" s="45"/>
    </row>
    <row r="23" spans="1:11" s="24" customFormat="1" ht="22.5" customHeight="1" x14ac:dyDescent="0.15">
      <c r="A23" s="27" t="s">
        <v>34</v>
      </c>
      <c r="B23" s="28">
        <f>4.52+4.86</f>
        <v>9.3800000000000008</v>
      </c>
      <c r="C23" s="29">
        <v>2</v>
      </c>
      <c r="D23" s="28">
        <v>0</v>
      </c>
      <c r="E23" s="29">
        <v>0</v>
      </c>
      <c r="F23" s="30">
        <f t="shared" si="0"/>
        <v>9.3800000000000008</v>
      </c>
      <c r="G23" s="14">
        <f t="shared" si="1"/>
        <v>2</v>
      </c>
      <c r="J23" s="45"/>
      <c r="K23" s="45"/>
    </row>
    <row r="24" spans="1:11" s="24" customFormat="1" ht="22.5" customHeight="1" x14ac:dyDescent="0.15">
      <c r="A24" s="27" t="s">
        <v>35</v>
      </c>
      <c r="B24" s="28">
        <v>4</v>
      </c>
      <c r="C24" s="29">
        <v>1</v>
      </c>
      <c r="D24" s="28">
        <v>0</v>
      </c>
      <c r="E24" s="29">
        <v>0</v>
      </c>
      <c r="F24" s="30">
        <f t="shared" si="0"/>
        <v>4</v>
      </c>
      <c r="G24" s="14">
        <f t="shared" si="1"/>
        <v>1</v>
      </c>
      <c r="J24" s="45"/>
      <c r="K24" s="45"/>
    </row>
    <row r="25" spans="1:11" s="24" customFormat="1" ht="22.5" customHeight="1" x14ac:dyDescent="0.15">
      <c r="A25" s="27" t="s">
        <v>36</v>
      </c>
      <c r="B25" s="28">
        <v>5.78</v>
      </c>
      <c r="C25" s="29">
        <v>1</v>
      </c>
      <c r="D25" s="28">
        <v>0</v>
      </c>
      <c r="E25" s="29">
        <v>0</v>
      </c>
      <c r="F25" s="30">
        <f t="shared" si="0"/>
        <v>5.78</v>
      </c>
      <c r="G25" s="14">
        <f t="shared" si="1"/>
        <v>1</v>
      </c>
      <c r="J25" s="45"/>
      <c r="K25" s="45"/>
    </row>
    <row r="26" spans="1:11" s="24" customFormat="1" ht="22.5" customHeight="1" x14ac:dyDescent="0.15">
      <c r="A26" s="27" t="s">
        <v>37</v>
      </c>
      <c r="B26" s="28">
        <v>0</v>
      </c>
      <c r="C26" s="29">
        <v>0</v>
      </c>
      <c r="D26" s="28">
        <v>0</v>
      </c>
      <c r="E26" s="29">
        <v>0</v>
      </c>
      <c r="F26" s="30">
        <f t="shared" si="0"/>
        <v>0</v>
      </c>
      <c r="G26" s="14">
        <f t="shared" si="1"/>
        <v>0</v>
      </c>
      <c r="J26" s="45"/>
      <c r="K26" s="45"/>
    </row>
    <row r="27" spans="1:11" s="24" customFormat="1" ht="22.5" customHeight="1" x14ac:dyDescent="0.15">
      <c r="A27" s="27" t="s">
        <v>38</v>
      </c>
      <c r="B27" s="28">
        <v>0</v>
      </c>
      <c r="C27" s="29">
        <v>0</v>
      </c>
      <c r="D27" s="28">
        <v>0</v>
      </c>
      <c r="E27" s="29">
        <v>0</v>
      </c>
      <c r="F27" s="30">
        <f t="shared" si="0"/>
        <v>0</v>
      </c>
      <c r="G27" s="14">
        <f t="shared" si="1"/>
        <v>0</v>
      </c>
      <c r="J27" s="45"/>
      <c r="K27" s="45"/>
    </row>
    <row r="28" spans="1:11" s="24" customFormat="1" ht="22.5" customHeight="1" x14ac:dyDescent="0.15">
      <c r="A28" s="27" t="s">
        <v>39</v>
      </c>
      <c r="B28" s="28">
        <v>0</v>
      </c>
      <c r="C28" s="29">
        <v>0</v>
      </c>
      <c r="D28" s="28">
        <v>9.1199999999999992</v>
      </c>
      <c r="E28" s="29">
        <v>1</v>
      </c>
      <c r="F28" s="30">
        <f t="shared" si="0"/>
        <v>9.1199999999999992</v>
      </c>
      <c r="G28" s="14">
        <f t="shared" si="1"/>
        <v>1</v>
      </c>
    </row>
    <row r="29" spans="1:11" s="24" customFormat="1" ht="22.5" customHeight="1" x14ac:dyDescent="0.15">
      <c r="A29" s="27" t="s">
        <v>40</v>
      </c>
      <c r="B29" s="28">
        <v>0</v>
      </c>
      <c r="C29" s="29">
        <v>0</v>
      </c>
      <c r="D29" s="28">
        <v>0</v>
      </c>
      <c r="E29" s="29">
        <v>0</v>
      </c>
      <c r="F29" s="30">
        <f t="shared" si="0"/>
        <v>0</v>
      </c>
      <c r="G29" s="14">
        <f t="shared" si="1"/>
        <v>0</v>
      </c>
    </row>
    <row r="30" spans="1:11" s="24" customFormat="1" ht="22.5" customHeight="1" x14ac:dyDescent="0.15">
      <c r="A30" s="27" t="s">
        <v>41</v>
      </c>
      <c r="B30" s="28">
        <v>0</v>
      </c>
      <c r="C30" s="29">
        <v>0</v>
      </c>
      <c r="D30" s="28">
        <v>0</v>
      </c>
      <c r="E30" s="29">
        <v>0</v>
      </c>
      <c r="F30" s="30">
        <f t="shared" si="0"/>
        <v>0</v>
      </c>
      <c r="G30" s="14">
        <f t="shared" si="1"/>
        <v>0</v>
      </c>
    </row>
    <row r="31" spans="1:11" s="24" customFormat="1" ht="22.5" customHeight="1" x14ac:dyDescent="0.15">
      <c r="A31" s="27" t="s">
        <v>42</v>
      </c>
      <c r="B31" s="28">
        <v>0</v>
      </c>
      <c r="C31" s="29">
        <v>0</v>
      </c>
      <c r="D31" s="28">
        <v>0</v>
      </c>
      <c r="E31" s="29">
        <v>0</v>
      </c>
      <c r="F31" s="30">
        <f t="shared" si="0"/>
        <v>0</v>
      </c>
      <c r="G31" s="14">
        <f t="shared" si="1"/>
        <v>0</v>
      </c>
    </row>
    <row r="32" spans="1:11" s="24" customFormat="1" ht="22.5" customHeight="1" x14ac:dyDescent="0.15">
      <c r="A32" s="27" t="s">
        <v>43</v>
      </c>
      <c r="B32" s="28">
        <v>0</v>
      </c>
      <c r="C32" s="29">
        <v>0</v>
      </c>
      <c r="D32" s="28">
        <v>0</v>
      </c>
      <c r="E32" s="29">
        <v>0</v>
      </c>
      <c r="F32" s="30">
        <f t="shared" si="0"/>
        <v>0</v>
      </c>
      <c r="G32" s="14">
        <f t="shared" si="1"/>
        <v>0</v>
      </c>
    </row>
    <row r="33" spans="1:11" s="24" customFormat="1" ht="22.5" customHeight="1" x14ac:dyDescent="0.15">
      <c r="A33" s="27" t="s">
        <v>44</v>
      </c>
      <c r="B33" s="28">
        <v>0</v>
      </c>
      <c r="C33" s="29">
        <v>0</v>
      </c>
      <c r="D33" s="28">
        <v>0</v>
      </c>
      <c r="E33" s="29">
        <v>0</v>
      </c>
      <c r="F33" s="30">
        <f t="shared" si="0"/>
        <v>0</v>
      </c>
      <c r="G33" s="14">
        <f t="shared" si="1"/>
        <v>0</v>
      </c>
    </row>
    <row r="34" spans="1:11" s="24" customFormat="1" ht="22.5" customHeight="1" x14ac:dyDescent="0.15">
      <c r="A34" s="27" t="s">
        <v>45</v>
      </c>
      <c r="B34" s="28">
        <v>0</v>
      </c>
      <c r="C34" s="29">
        <v>0</v>
      </c>
      <c r="D34" s="28">
        <v>0</v>
      </c>
      <c r="E34" s="29">
        <v>0</v>
      </c>
      <c r="F34" s="30">
        <f t="shared" si="0"/>
        <v>0</v>
      </c>
      <c r="G34" s="14">
        <f t="shared" si="1"/>
        <v>0</v>
      </c>
    </row>
    <row r="35" spans="1:11" s="24" customFormat="1" ht="22.5" customHeight="1" x14ac:dyDescent="0.15">
      <c r="A35" s="27" t="s">
        <v>46</v>
      </c>
      <c r="B35" s="28">
        <v>0</v>
      </c>
      <c r="C35" s="29">
        <v>0</v>
      </c>
      <c r="D35" s="28">
        <v>8.36</v>
      </c>
      <c r="E35" s="29">
        <v>1</v>
      </c>
      <c r="F35" s="30">
        <f t="shared" si="0"/>
        <v>8.36</v>
      </c>
      <c r="G35" s="14">
        <f t="shared" si="1"/>
        <v>1</v>
      </c>
    </row>
    <row r="36" spans="1:11" s="24" customFormat="1" ht="25.5" customHeight="1" x14ac:dyDescent="0.15">
      <c r="A36" s="31" t="s">
        <v>13</v>
      </c>
      <c r="B36" s="32">
        <f>SUM(B5:B35)</f>
        <v>19.16</v>
      </c>
      <c r="C36" s="48">
        <f>SUM(C5:C35)</f>
        <v>4</v>
      </c>
      <c r="D36" s="32">
        <f>SUM(D5:D35)</f>
        <v>44.32</v>
      </c>
      <c r="E36" s="48">
        <f>SUM(E5:E35)</f>
        <v>5</v>
      </c>
      <c r="F36" s="30">
        <f t="shared" si="0"/>
        <v>63.48</v>
      </c>
      <c r="G36" s="14">
        <f t="shared" si="1"/>
        <v>9</v>
      </c>
      <c r="I36" s="46"/>
      <c r="J36" s="46"/>
      <c r="K36" s="46"/>
    </row>
    <row r="37" spans="1:11" s="25" customFormat="1" ht="21" customHeight="1" x14ac:dyDescent="0.25">
      <c r="A37" s="17" t="s">
        <v>75</v>
      </c>
      <c r="B37" s="40"/>
      <c r="C37" s="40"/>
      <c r="D37" s="40"/>
      <c r="E37" s="40"/>
      <c r="F37" s="42"/>
      <c r="G37" s="42"/>
      <c r="I37" s="49"/>
    </row>
    <row r="38" spans="1:11" x14ac:dyDescent="0.15">
      <c r="A38" s="21"/>
      <c r="B38" s="21"/>
      <c r="C38" s="21"/>
      <c r="D38" s="21"/>
      <c r="E38" s="21"/>
      <c r="I38" s="43"/>
    </row>
    <row r="39" spans="1:11" x14ac:dyDescent="0.15">
      <c r="F39" s="43"/>
      <c r="G39" s="43"/>
    </row>
    <row r="40" spans="1:11" x14ac:dyDescent="0.15">
      <c r="F40" s="44"/>
      <c r="G40" s="44"/>
    </row>
    <row r="41" spans="1:11" x14ac:dyDescent="0.15">
      <c r="D41" s="43"/>
      <c r="E41" s="43"/>
      <c r="F41" s="44"/>
      <c r="G41" s="44"/>
    </row>
  </sheetData>
  <mergeCells count="6">
    <mergeCell ref="A1:G1"/>
    <mergeCell ref="B2:G2"/>
    <mergeCell ref="B3:C3"/>
    <mergeCell ref="D3:E3"/>
    <mergeCell ref="F3:G3"/>
    <mergeCell ref="A3:A4"/>
  </mergeCells>
  <phoneticPr fontId="19" type="noConversion"/>
  <pageMargins left="0.32" right="0.22" top="0.22" bottom="0.23" header="0.21" footer="0.2"/>
  <pageSetup paperSize="9" scale="90" orientation="portrait"/>
  <headerFooter scaleWithDoc="0"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R42"/>
  <sheetViews>
    <sheetView workbookViewId="0">
      <pane ySplit="4" topLeftCell="A23" activePane="bottomLeft" state="frozen"/>
      <selection pane="bottomLeft" activeCell="L25" sqref="L25:M35"/>
    </sheetView>
  </sheetViews>
  <sheetFormatPr defaultColWidth="9" defaultRowHeight="14.25" x14ac:dyDescent="0.15"/>
  <cols>
    <col min="1" max="1" width="5.375" style="1" customWidth="1"/>
    <col min="2" max="2" width="9.875" style="1" customWidth="1"/>
    <col min="3" max="3" width="5.75" style="1" customWidth="1"/>
    <col min="4" max="4" width="9.625" style="1" customWidth="1"/>
    <col min="5" max="5" width="7.625" style="1" customWidth="1"/>
    <col min="6" max="6" width="9.75" style="1" customWidth="1"/>
    <col min="7" max="7" width="5.625" style="1" customWidth="1"/>
    <col min="8" max="8" width="10.125" style="1" customWidth="1"/>
    <col min="9" max="9" width="5.875" style="1" customWidth="1"/>
    <col min="10" max="10" width="9.375" style="1" customWidth="1"/>
    <col min="11" max="11" width="5.75" style="1" customWidth="1"/>
    <col min="12" max="12" width="11.875" style="1" customWidth="1"/>
    <col min="13" max="13" width="7" style="1" customWidth="1"/>
    <col min="14" max="14" width="9" style="1"/>
    <col min="15" max="15" width="11.625" style="1"/>
    <col min="16" max="16" width="9.5" style="1"/>
    <col min="17" max="17" width="11.625" style="1"/>
    <col min="18" max="18" width="10.5" style="1"/>
    <col min="19" max="16384" width="9" style="1"/>
  </cols>
  <sheetData>
    <row r="1" spans="1:18" ht="35.25" customHeight="1" x14ac:dyDescent="0.1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8" s="2" customFormat="1" ht="30" customHeight="1" x14ac:dyDescent="0.15">
      <c r="A2" s="4">
        <v>1000</v>
      </c>
      <c r="B2" s="4"/>
      <c r="C2" s="4"/>
      <c r="D2" s="26"/>
      <c r="E2" s="26"/>
      <c r="F2" s="26"/>
      <c r="G2" s="26"/>
      <c r="H2" s="26"/>
      <c r="I2" s="26"/>
      <c r="J2" s="26"/>
      <c r="K2" s="26"/>
      <c r="L2" s="111" t="s">
        <v>1</v>
      </c>
      <c r="M2" s="111"/>
    </row>
    <row r="3" spans="1:18" s="2" customFormat="1" ht="37.5" customHeight="1" x14ac:dyDescent="0.15">
      <c r="A3" s="109" t="s">
        <v>2</v>
      </c>
      <c r="B3" s="107" t="s">
        <v>76</v>
      </c>
      <c r="C3" s="108"/>
      <c r="D3" s="107" t="s">
        <v>77</v>
      </c>
      <c r="E3" s="108"/>
      <c r="F3" s="107" t="s">
        <v>78</v>
      </c>
      <c r="G3" s="108"/>
      <c r="H3" s="107" t="s">
        <v>79</v>
      </c>
      <c r="I3" s="108"/>
      <c r="J3" s="107" t="s">
        <v>80</v>
      </c>
      <c r="K3" s="108"/>
      <c r="L3" s="100" t="s">
        <v>13</v>
      </c>
      <c r="M3" s="101"/>
    </row>
    <row r="4" spans="1:18" s="2" customFormat="1" ht="24.75" customHeight="1" x14ac:dyDescent="0.15">
      <c r="A4" s="104"/>
      <c r="B4" s="10" t="s">
        <v>14</v>
      </c>
      <c r="C4" s="10" t="s">
        <v>15</v>
      </c>
      <c r="D4" s="10" t="s">
        <v>14</v>
      </c>
      <c r="E4" s="10" t="s">
        <v>15</v>
      </c>
      <c r="F4" s="10" t="s">
        <v>14</v>
      </c>
      <c r="G4" s="10" t="s">
        <v>15</v>
      </c>
      <c r="H4" s="7" t="s">
        <v>14</v>
      </c>
      <c r="I4" s="7" t="s">
        <v>15</v>
      </c>
      <c r="J4" s="7" t="s">
        <v>14</v>
      </c>
      <c r="K4" s="7" t="s">
        <v>15</v>
      </c>
      <c r="L4" s="7" t="s">
        <v>14</v>
      </c>
      <c r="M4" s="7" t="s">
        <v>15</v>
      </c>
    </row>
    <row r="5" spans="1:18" s="24" customFormat="1" ht="22.5" customHeight="1" x14ac:dyDescent="0.15">
      <c r="A5" s="27" t="s">
        <v>16</v>
      </c>
      <c r="B5" s="28">
        <v>0</v>
      </c>
      <c r="C5" s="29">
        <v>0</v>
      </c>
      <c r="D5" s="28">
        <v>5.9</v>
      </c>
      <c r="E5" s="29">
        <v>1</v>
      </c>
      <c r="F5" s="28">
        <f>3.68+2.6</f>
        <v>6.28</v>
      </c>
      <c r="G5" s="29">
        <v>2</v>
      </c>
      <c r="H5" s="28">
        <v>0</v>
      </c>
      <c r="I5" s="29">
        <v>0</v>
      </c>
      <c r="J5" s="28">
        <v>4.1399999999999997</v>
      </c>
      <c r="K5" s="29">
        <v>1</v>
      </c>
      <c r="L5" s="30">
        <f t="shared" ref="L5:L33" si="0">B5+D5+F5+H5+J5</f>
        <v>16.32</v>
      </c>
      <c r="M5" s="29">
        <f t="shared" ref="M5:M33" si="1">C5+E5+G5+I5+K5</f>
        <v>4</v>
      </c>
    </row>
    <row r="6" spans="1:18" s="24" customFormat="1" ht="22.5" customHeight="1" x14ac:dyDescent="0.15">
      <c r="A6" s="27" t="s">
        <v>17</v>
      </c>
      <c r="B6" s="28">
        <v>0</v>
      </c>
      <c r="C6" s="29">
        <v>0</v>
      </c>
      <c r="D6" s="28">
        <v>5.98</v>
      </c>
      <c r="E6" s="29">
        <v>1</v>
      </c>
      <c r="F6" s="28">
        <v>3.96</v>
      </c>
      <c r="G6" s="29">
        <v>1</v>
      </c>
      <c r="H6" s="28">
        <v>0</v>
      </c>
      <c r="I6" s="29">
        <v>0</v>
      </c>
      <c r="J6" s="28">
        <v>4.78</v>
      </c>
      <c r="K6" s="29">
        <v>1</v>
      </c>
      <c r="L6" s="30">
        <f t="shared" si="0"/>
        <v>14.72</v>
      </c>
      <c r="M6" s="29">
        <f t="shared" si="1"/>
        <v>3</v>
      </c>
    </row>
    <row r="7" spans="1:18" s="24" customFormat="1" ht="22.5" customHeight="1" x14ac:dyDescent="0.15">
      <c r="A7" s="27" t="s">
        <v>18</v>
      </c>
      <c r="B7" s="28">
        <v>0</v>
      </c>
      <c r="C7" s="29">
        <v>0</v>
      </c>
      <c r="D7" s="28">
        <v>6.14</v>
      </c>
      <c r="E7" s="29">
        <v>1</v>
      </c>
      <c r="F7" s="28">
        <v>3.62</v>
      </c>
      <c r="G7" s="29">
        <v>1</v>
      </c>
      <c r="H7" s="28">
        <v>0</v>
      </c>
      <c r="I7" s="29">
        <v>0</v>
      </c>
      <c r="J7" s="28">
        <v>0</v>
      </c>
      <c r="K7" s="29">
        <v>0</v>
      </c>
      <c r="L7" s="30">
        <f t="shared" si="0"/>
        <v>9.76</v>
      </c>
      <c r="M7" s="29">
        <f t="shared" si="1"/>
        <v>2</v>
      </c>
    </row>
    <row r="8" spans="1:18" s="24" customFormat="1" ht="22.5" customHeight="1" x14ac:dyDescent="0.15">
      <c r="A8" s="27" t="s">
        <v>19</v>
      </c>
      <c r="B8" s="28">
        <v>0</v>
      </c>
      <c r="C8" s="29">
        <v>0</v>
      </c>
      <c r="D8" s="28">
        <v>5.38</v>
      </c>
      <c r="E8" s="29">
        <v>1</v>
      </c>
      <c r="F8" s="28">
        <v>3.8</v>
      </c>
      <c r="G8" s="29">
        <v>1</v>
      </c>
      <c r="H8" s="28">
        <v>0</v>
      </c>
      <c r="I8" s="29">
        <v>0</v>
      </c>
      <c r="J8" s="28">
        <v>5.12</v>
      </c>
      <c r="K8" s="29">
        <v>1</v>
      </c>
      <c r="L8" s="30">
        <f t="shared" si="0"/>
        <v>14.3</v>
      </c>
      <c r="M8" s="29">
        <f t="shared" si="1"/>
        <v>3</v>
      </c>
    </row>
    <row r="9" spans="1:18" s="24" customFormat="1" ht="22.5" customHeight="1" x14ac:dyDescent="0.15">
      <c r="A9" s="27" t="s">
        <v>20</v>
      </c>
      <c r="B9" s="28">
        <v>0</v>
      </c>
      <c r="C9" s="29">
        <v>0</v>
      </c>
      <c r="D9" s="28">
        <v>6.38</v>
      </c>
      <c r="E9" s="29">
        <v>1</v>
      </c>
      <c r="F9" s="28">
        <f>3.42+3.38</f>
        <v>6.8</v>
      </c>
      <c r="G9" s="29">
        <v>2</v>
      </c>
      <c r="H9" s="28">
        <v>0</v>
      </c>
      <c r="I9" s="29">
        <v>0</v>
      </c>
      <c r="J9" s="28">
        <v>4.18</v>
      </c>
      <c r="K9" s="29">
        <v>1</v>
      </c>
      <c r="L9" s="30">
        <f t="shared" si="0"/>
        <v>17.36</v>
      </c>
      <c r="M9" s="29">
        <f t="shared" si="1"/>
        <v>4</v>
      </c>
    </row>
    <row r="10" spans="1:18" s="24" customFormat="1" ht="22.5" customHeight="1" x14ac:dyDescent="0.15">
      <c r="A10" s="27" t="s">
        <v>21</v>
      </c>
      <c r="B10" s="28">
        <v>0</v>
      </c>
      <c r="C10" s="29">
        <v>0</v>
      </c>
      <c r="D10" s="28">
        <v>6.04</v>
      </c>
      <c r="E10" s="29">
        <v>1</v>
      </c>
      <c r="F10" s="28">
        <f>3.26+3.88</f>
        <v>7.14</v>
      </c>
      <c r="G10" s="29">
        <v>2</v>
      </c>
      <c r="H10" s="28">
        <v>0</v>
      </c>
      <c r="I10" s="29">
        <v>0</v>
      </c>
      <c r="J10" s="28">
        <v>4.3600000000000003</v>
      </c>
      <c r="K10" s="29">
        <v>1</v>
      </c>
      <c r="L10" s="30">
        <f t="shared" si="0"/>
        <v>17.54</v>
      </c>
      <c r="M10" s="29">
        <f t="shared" si="1"/>
        <v>4</v>
      </c>
      <c r="Q10" s="45"/>
      <c r="R10" s="45"/>
    </row>
    <row r="11" spans="1:18" s="24" customFormat="1" ht="22.5" customHeight="1" x14ac:dyDescent="0.15">
      <c r="A11" s="27" t="s">
        <v>22</v>
      </c>
      <c r="B11" s="28">
        <v>0</v>
      </c>
      <c r="C11" s="29">
        <v>0</v>
      </c>
      <c r="D11" s="28">
        <v>4.42</v>
      </c>
      <c r="E11" s="29">
        <v>1</v>
      </c>
      <c r="F11" s="28">
        <f>3.8+3.52</f>
        <v>7.32</v>
      </c>
      <c r="G11" s="29">
        <v>2</v>
      </c>
      <c r="H11" s="28">
        <v>0</v>
      </c>
      <c r="I11" s="29">
        <v>0</v>
      </c>
      <c r="J11" s="28">
        <v>4.58</v>
      </c>
      <c r="K11" s="29">
        <v>1</v>
      </c>
      <c r="L11" s="30">
        <f t="shared" si="0"/>
        <v>16.32</v>
      </c>
      <c r="M11" s="29">
        <f t="shared" si="1"/>
        <v>4</v>
      </c>
      <c r="Q11" s="45"/>
      <c r="R11" s="45"/>
    </row>
    <row r="12" spans="1:18" s="24" customFormat="1" ht="22.5" customHeight="1" x14ac:dyDescent="0.15">
      <c r="A12" s="27" t="s">
        <v>23</v>
      </c>
      <c r="B12" s="28">
        <v>0</v>
      </c>
      <c r="C12" s="29">
        <v>0</v>
      </c>
      <c r="D12" s="28">
        <v>6.18</v>
      </c>
      <c r="E12" s="29">
        <v>1</v>
      </c>
      <c r="F12" s="28">
        <f>3.28+3.68</f>
        <v>6.96</v>
      </c>
      <c r="G12" s="29">
        <v>2</v>
      </c>
      <c r="H12" s="28">
        <v>0</v>
      </c>
      <c r="I12" s="29">
        <v>0</v>
      </c>
      <c r="J12" s="28">
        <v>0</v>
      </c>
      <c r="K12" s="29">
        <v>0</v>
      </c>
      <c r="L12" s="30">
        <f t="shared" si="0"/>
        <v>13.14</v>
      </c>
      <c r="M12" s="29">
        <f t="shared" si="1"/>
        <v>3</v>
      </c>
      <c r="Q12" s="45"/>
      <c r="R12" s="45"/>
    </row>
    <row r="13" spans="1:18" s="24" customFormat="1" ht="22.5" customHeight="1" x14ac:dyDescent="0.15">
      <c r="A13" s="27" t="s">
        <v>24</v>
      </c>
      <c r="B13" s="28">
        <v>0</v>
      </c>
      <c r="C13" s="29">
        <v>0</v>
      </c>
      <c r="D13" s="28">
        <v>6.22</v>
      </c>
      <c r="E13" s="29">
        <v>1</v>
      </c>
      <c r="F13" s="28">
        <f>3.24+3.04</f>
        <v>6.28</v>
      </c>
      <c r="G13" s="29">
        <v>2</v>
      </c>
      <c r="H13" s="28">
        <v>0</v>
      </c>
      <c r="I13" s="29">
        <v>0</v>
      </c>
      <c r="J13" s="28">
        <v>0</v>
      </c>
      <c r="K13" s="29">
        <v>0</v>
      </c>
      <c r="L13" s="30">
        <f t="shared" si="0"/>
        <v>12.5</v>
      </c>
      <c r="M13" s="29">
        <f t="shared" si="1"/>
        <v>3</v>
      </c>
      <c r="Q13" s="45"/>
      <c r="R13" s="45"/>
    </row>
    <row r="14" spans="1:18" s="24" customFormat="1" ht="22.5" customHeight="1" x14ac:dyDescent="0.15">
      <c r="A14" s="27" t="s">
        <v>25</v>
      </c>
      <c r="B14" s="28">
        <v>0</v>
      </c>
      <c r="C14" s="29">
        <v>0</v>
      </c>
      <c r="D14" s="28">
        <v>6.1</v>
      </c>
      <c r="E14" s="29">
        <v>1</v>
      </c>
      <c r="F14" s="28">
        <v>4.1399999999999997</v>
      </c>
      <c r="G14" s="29">
        <v>1</v>
      </c>
      <c r="H14" s="28">
        <v>0</v>
      </c>
      <c r="I14" s="29">
        <v>0</v>
      </c>
      <c r="J14" s="28">
        <v>5.42</v>
      </c>
      <c r="K14" s="29">
        <v>1</v>
      </c>
      <c r="L14" s="30">
        <f t="shared" si="0"/>
        <v>15.66</v>
      </c>
      <c r="M14" s="29">
        <f t="shared" si="1"/>
        <v>3</v>
      </c>
      <c r="Q14" s="45"/>
      <c r="R14" s="45"/>
    </row>
    <row r="15" spans="1:18" s="24" customFormat="1" ht="22.5" customHeight="1" x14ac:dyDescent="0.15">
      <c r="A15" s="27" t="s">
        <v>26</v>
      </c>
      <c r="B15" s="28">
        <v>0</v>
      </c>
      <c r="C15" s="29">
        <v>0</v>
      </c>
      <c r="D15" s="28">
        <v>5.18</v>
      </c>
      <c r="E15" s="29">
        <v>1</v>
      </c>
      <c r="F15" s="28">
        <v>4.08</v>
      </c>
      <c r="G15" s="29">
        <v>1</v>
      </c>
      <c r="H15" s="28">
        <v>0</v>
      </c>
      <c r="I15" s="29">
        <v>0</v>
      </c>
      <c r="J15" s="28">
        <v>0</v>
      </c>
      <c r="K15" s="29">
        <v>0</v>
      </c>
      <c r="L15" s="30">
        <f t="shared" si="0"/>
        <v>9.26</v>
      </c>
      <c r="M15" s="29">
        <f t="shared" si="1"/>
        <v>2</v>
      </c>
      <c r="Q15" s="45"/>
      <c r="R15" s="45"/>
    </row>
    <row r="16" spans="1:18" s="24" customFormat="1" ht="22.5" customHeight="1" x14ac:dyDescent="0.15">
      <c r="A16" s="27" t="s">
        <v>27</v>
      </c>
      <c r="B16" s="28">
        <v>0</v>
      </c>
      <c r="C16" s="29">
        <v>0</v>
      </c>
      <c r="D16" s="28">
        <v>7.02</v>
      </c>
      <c r="E16" s="29">
        <v>1</v>
      </c>
      <c r="F16" s="28">
        <f>3.76+4.56</f>
        <v>8.32</v>
      </c>
      <c r="G16" s="29">
        <v>2</v>
      </c>
      <c r="H16" s="28">
        <v>0</v>
      </c>
      <c r="I16" s="29">
        <v>0</v>
      </c>
      <c r="J16" s="28">
        <f>5+4.38</f>
        <v>9.3800000000000008</v>
      </c>
      <c r="K16" s="29">
        <v>2</v>
      </c>
      <c r="L16" s="30">
        <f t="shared" si="0"/>
        <v>24.72</v>
      </c>
      <c r="M16" s="29">
        <f t="shared" si="1"/>
        <v>5</v>
      </c>
      <c r="Q16" s="45"/>
      <c r="R16" s="45"/>
    </row>
    <row r="17" spans="1:18" s="24" customFormat="1" ht="22.5" customHeight="1" x14ac:dyDescent="0.15">
      <c r="A17" s="27" t="s">
        <v>28</v>
      </c>
      <c r="B17" s="28">
        <v>0</v>
      </c>
      <c r="C17" s="29">
        <v>0</v>
      </c>
      <c r="D17" s="28">
        <v>8.1999999999999993</v>
      </c>
      <c r="E17" s="29">
        <v>1</v>
      </c>
      <c r="F17" s="28">
        <f>3+3.84</f>
        <v>6.84</v>
      </c>
      <c r="G17" s="29">
        <v>2</v>
      </c>
      <c r="H17" s="28">
        <v>0</v>
      </c>
      <c r="I17" s="29">
        <v>0</v>
      </c>
      <c r="J17" s="28">
        <v>3.92</v>
      </c>
      <c r="K17" s="29">
        <v>1</v>
      </c>
      <c r="L17" s="30">
        <f t="shared" si="0"/>
        <v>18.96</v>
      </c>
      <c r="M17" s="29">
        <f t="shared" si="1"/>
        <v>4</v>
      </c>
      <c r="Q17" s="45"/>
      <c r="R17" s="45"/>
    </row>
    <row r="18" spans="1:18" s="24" customFormat="1" ht="22.5" customHeight="1" x14ac:dyDescent="0.15">
      <c r="A18" s="27" t="s">
        <v>29</v>
      </c>
      <c r="B18" s="28">
        <v>0</v>
      </c>
      <c r="C18" s="29">
        <v>0</v>
      </c>
      <c r="D18" s="28">
        <v>5.08</v>
      </c>
      <c r="E18" s="29">
        <v>1</v>
      </c>
      <c r="F18" s="28">
        <f>2.86+4.02</f>
        <v>6.88</v>
      </c>
      <c r="G18" s="29">
        <v>2</v>
      </c>
      <c r="H18" s="28">
        <v>0</v>
      </c>
      <c r="I18" s="29">
        <v>0</v>
      </c>
      <c r="J18" s="28">
        <v>4.58</v>
      </c>
      <c r="K18" s="29">
        <v>1</v>
      </c>
      <c r="L18" s="30">
        <f t="shared" si="0"/>
        <v>16.54</v>
      </c>
      <c r="M18" s="29">
        <f t="shared" si="1"/>
        <v>4</v>
      </c>
      <c r="Q18" s="45"/>
      <c r="R18" s="45"/>
    </row>
    <row r="19" spans="1:18" s="24" customFormat="1" ht="22.5" customHeight="1" x14ac:dyDescent="0.15">
      <c r="A19" s="27" t="s">
        <v>30</v>
      </c>
      <c r="B19" s="28">
        <v>0</v>
      </c>
      <c r="C19" s="29">
        <v>0</v>
      </c>
      <c r="D19" s="28">
        <v>5.0599999999999996</v>
      </c>
      <c r="E19" s="29">
        <v>1</v>
      </c>
      <c r="F19" s="28">
        <f>3.28+3.94</f>
        <v>7.22</v>
      </c>
      <c r="G19" s="29">
        <v>2</v>
      </c>
      <c r="H19" s="28">
        <v>0</v>
      </c>
      <c r="I19" s="29">
        <v>0</v>
      </c>
      <c r="J19" s="28">
        <v>4.4400000000000004</v>
      </c>
      <c r="K19" s="29">
        <v>1</v>
      </c>
      <c r="L19" s="30">
        <f t="shared" si="0"/>
        <v>16.72</v>
      </c>
      <c r="M19" s="29">
        <f t="shared" si="1"/>
        <v>4</v>
      </c>
      <c r="Q19" s="45"/>
      <c r="R19" s="45"/>
    </row>
    <row r="20" spans="1:18" s="24" customFormat="1" ht="22.5" customHeight="1" x14ac:dyDescent="0.15">
      <c r="A20" s="27" t="s">
        <v>31</v>
      </c>
      <c r="B20" s="28">
        <v>0</v>
      </c>
      <c r="C20" s="29">
        <v>0</v>
      </c>
      <c r="D20" s="28">
        <v>4.7</v>
      </c>
      <c r="E20" s="29">
        <v>1</v>
      </c>
      <c r="F20" s="28">
        <f>2.88+4.04</f>
        <v>6.92</v>
      </c>
      <c r="G20" s="29">
        <v>2</v>
      </c>
      <c r="H20" s="28">
        <v>0</v>
      </c>
      <c r="I20" s="29">
        <v>0</v>
      </c>
      <c r="J20" s="28">
        <f>4.4</f>
        <v>4.4000000000000004</v>
      </c>
      <c r="K20" s="29">
        <v>1</v>
      </c>
      <c r="L20" s="30">
        <f t="shared" si="0"/>
        <v>16.02</v>
      </c>
      <c r="M20" s="29">
        <f t="shared" si="1"/>
        <v>4</v>
      </c>
      <c r="Q20" s="45"/>
      <c r="R20" s="45"/>
    </row>
    <row r="21" spans="1:18" s="24" customFormat="1" ht="22.5" customHeight="1" x14ac:dyDescent="0.15">
      <c r="A21" s="27" t="s">
        <v>32</v>
      </c>
      <c r="B21" s="28">
        <v>0</v>
      </c>
      <c r="C21" s="29">
        <v>0</v>
      </c>
      <c r="D21" s="28">
        <v>4.4400000000000004</v>
      </c>
      <c r="E21" s="29">
        <v>1</v>
      </c>
      <c r="F21" s="28">
        <v>3.42</v>
      </c>
      <c r="G21" s="29">
        <v>1</v>
      </c>
      <c r="H21" s="28">
        <v>0</v>
      </c>
      <c r="I21" s="29">
        <v>0</v>
      </c>
      <c r="J21" s="28">
        <v>0</v>
      </c>
      <c r="K21" s="29">
        <v>0</v>
      </c>
      <c r="L21" s="30">
        <f t="shared" si="0"/>
        <v>7.86</v>
      </c>
      <c r="M21" s="29">
        <f t="shared" si="1"/>
        <v>2</v>
      </c>
    </row>
    <row r="22" spans="1:18" s="24" customFormat="1" ht="22.5" customHeight="1" x14ac:dyDescent="0.15">
      <c r="A22" s="27" t="s">
        <v>33</v>
      </c>
      <c r="B22" s="28">
        <v>0</v>
      </c>
      <c r="C22" s="29">
        <v>0</v>
      </c>
      <c r="D22" s="28">
        <v>3.98</v>
      </c>
      <c r="E22" s="29">
        <v>1</v>
      </c>
      <c r="F22" s="28">
        <v>4.04</v>
      </c>
      <c r="G22" s="29">
        <v>1</v>
      </c>
      <c r="H22" s="28">
        <v>0</v>
      </c>
      <c r="I22" s="29">
        <v>0</v>
      </c>
      <c r="J22" s="28">
        <v>5.78</v>
      </c>
      <c r="K22" s="29">
        <v>1</v>
      </c>
      <c r="L22" s="30">
        <f t="shared" si="0"/>
        <v>13.8</v>
      </c>
      <c r="M22" s="29">
        <f t="shared" si="1"/>
        <v>3</v>
      </c>
    </row>
    <row r="23" spans="1:18" s="24" customFormat="1" ht="22.5" customHeight="1" x14ac:dyDescent="0.15">
      <c r="A23" s="27" t="s">
        <v>34</v>
      </c>
      <c r="B23" s="28">
        <v>0</v>
      </c>
      <c r="C23" s="29">
        <v>0</v>
      </c>
      <c r="D23" s="28">
        <v>4.82</v>
      </c>
      <c r="E23" s="29">
        <v>1</v>
      </c>
      <c r="F23" s="28">
        <f>3.46+2.72</f>
        <v>6.18</v>
      </c>
      <c r="G23" s="29">
        <v>2</v>
      </c>
      <c r="H23" s="28">
        <v>0</v>
      </c>
      <c r="I23" s="29">
        <v>0</v>
      </c>
      <c r="J23" s="28">
        <v>4.4400000000000004</v>
      </c>
      <c r="K23" s="29">
        <v>1</v>
      </c>
      <c r="L23" s="30">
        <f t="shared" si="0"/>
        <v>15.44</v>
      </c>
      <c r="M23" s="29">
        <f t="shared" si="1"/>
        <v>4</v>
      </c>
    </row>
    <row r="24" spans="1:18" s="24" customFormat="1" ht="22.5" customHeight="1" x14ac:dyDescent="0.15">
      <c r="A24" s="27" t="s">
        <v>35</v>
      </c>
      <c r="B24" s="28">
        <v>0</v>
      </c>
      <c r="C24" s="29">
        <v>0</v>
      </c>
      <c r="D24" s="28">
        <v>5.48</v>
      </c>
      <c r="E24" s="29">
        <v>1</v>
      </c>
      <c r="F24" s="28">
        <f>3.4+4.66</f>
        <v>8.06</v>
      </c>
      <c r="G24" s="29">
        <v>2</v>
      </c>
      <c r="H24" s="28">
        <v>0</v>
      </c>
      <c r="I24" s="29">
        <v>0</v>
      </c>
      <c r="J24" s="28">
        <v>4.9800000000000004</v>
      </c>
      <c r="K24" s="29">
        <v>1</v>
      </c>
      <c r="L24" s="30">
        <f t="shared" si="0"/>
        <v>18.52</v>
      </c>
      <c r="M24" s="29">
        <f t="shared" si="1"/>
        <v>4</v>
      </c>
    </row>
    <row r="25" spans="1:18" s="24" customFormat="1" ht="22.5" customHeight="1" x14ac:dyDescent="0.15">
      <c r="A25" s="27" t="s">
        <v>36</v>
      </c>
      <c r="B25" s="28">
        <v>0</v>
      </c>
      <c r="C25" s="29">
        <v>0</v>
      </c>
      <c r="D25" s="28">
        <v>4.5999999999999996</v>
      </c>
      <c r="E25" s="29">
        <v>1</v>
      </c>
      <c r="F25" s="28">
        <f>3.4+3.78</f>
        <v>7.18</v>
      </c>
      <c r="G25" s="29">
        <v>2</v>
      </c>
      <c r="H25" s="28">
        <v>0</v>
      </c>
      <c r="I25" s="29">
        <v>0</v>
      </c>
      <c r="J25" s="28">
        <v>4.78</v>
      </c>
      <c r="K25" s="29">
        <v>1</v>
      </c>
      <c r="L25" s="30">
        <f t="shared" si="0"/>
        <v>16.559999999999999</v>
      </c>
      <c r="M25" s="29">
        <f t="shared" si="1"/>
        <v>4</v>
      </c>
    </row>
    <row r="26" spans="1:18" s="24" customFormat="1" ht="22.5" customHeight="1" x14ac:dyDescent="0.15">
      <c r="A26" s="27" t="s">
        <v>37</v>
      </c>
      <c r="B26" s="28">
        <v>0</v>
      </c>
      <c r="C26" s="29">
        <v>0</v>
      </c>
      <c r="D26" s="28">
        <v>7.44</v>
      </c>
      <c r="E26" s="29">
        <v>1</v>
      </c>
      <c r="F26" s="28">
        <f>3.68+4.56</f>
        <v>8.24</v>
      </c>
      <c r="G26" s="29">
        <v>2</v>
      </c>
      <c r="H26" s="28">
        <v>0</v>
      </c>
      <c r="I26" s="29">
        <v>0</v>
      </c>
      <c r="J26" s="28">
        <v>4.8600000000000003</v>
      </c>
      <c r="K26" s="29">
        <v>1</v>
      </c>
      <c r="L26" s="30">
        <f t="shared" si="0"/>
        <v>20.54</v>
      </c>
      <c r="M26" s="29">
        <f t="shared" si="1"/>
        <v>4</v>
      </c>
    </row>
    <row r="27" spans="1:18" s="24" customFormat="1" ht="22.5" customHeight="1" x14ac:dyDescent="0.15">
      <c r="A27" s="27" t="s">
        <v>38</v>
      </c>
      <c r="B27" s="28">
        <v>0</v>
      </c>
      <c r="C27" s="29">
        <v>0</v>
      </c>
      <c r="D27" s="28">
        <v>7.18</v>
      </c>
      <c r="E27" s="29">
        <v>1</v>
      </c>
      <c r="F27" s="28">
        <f>3.14+4.14</f>
        <v>7.28</v>
      </c>
      <c r="G27" s="29">
        <v>2</v>
      </c>
      <c r="H27" s="28">
        <v>0</v>
      </c>
      <c r="I27" s="29">
        <v>0</v>
      </c>
      <c r="J27" s="28">
        <v>4.5599999999999996</v>
      </c>
      <c r="K27" s="29">
        <v>1</v>
      </c>
      <c r="L27" s="30">
        <f t="shared" si="0"/>
        <v>19.02</v>
      </c>
      <c r="M27" s="29">
        <f t="shared" si="1"/>
        <v>4</v>
      </c>
    </row>
    <row r="28" spans="1:18" s="24" customFormat="1" ht="22.5" customHeight="1" x14ac:dyDescent="0.15">
      <c r="A28" s="27" t="s">
        <v>39</v>
      </c>
      <c r="B28" s="28">
        <v>0</v>
      </c>
      <c r="C28" s="29">
        <v>0</v>
      </c>
      <c r="D28" s="28">
        <v>7.36</v>
      </c>
      <c r="E28" s="29">
        <v>1</v>
      </c>
      <c r="F28" s="28">
        <v>3.48</v>
      </c>
      <c r="G28" s="29">
        <v>1</v>
      </c>
      <c r="H28" s="28">
        <v>0</v>
      </c>
      <c r="I28" s="29">
        <v>0</v>
      </c>
      <c r="J28" s="28">
        <v>0</v>
      </c>
      <c r="K28" s="29">
        <v>0</v>
      </c>
      <c r="L28" s="30">
        <f t="shared" si="0"/>
        <v>10.84</v>
      </c>
      <c r="M28" s="29">
        <f t="shared" si="1"/>
        <v>2</v>
      </c>
    </row>
    <row r="29" spans="1:18" s="24" customFormat="1" ht="22.5" customHeight="1" x14ac:dyDescent="0.15">
      <c r="A29" s="27" t="s">
        <v>40</v>
      </c>
      <c r="B29" s="28">
        <v>0</v>
      </c>
      <c r="C29" s="29">
        <v>0</v>
      </c>
      <c r="D29" s="28">
        <v>4.18</v>
      </c>
      <c r="E29" s="29">
        <v>1</v>
      </c>
      <c r="F29" s="28">
        <v>4.24</v>
      </c>
      <c r="G29" s="29">
        <v>1</v>
      </c>
      <c r="H29" s="28">
        <v>0</v>
      </c>
      <c r="I29" s="29">
        <v>0</v>
      </c>
      <c r="J29" s="28">
        <v>5.62</v>
      </c>
      <c r="K29" s="29">
        <v>1</v>
      </c>
      <c r="L29" s="30">
        <f t="shared" si="0"/>
        <v>14.04</v>
      </c>
      <c r="M29" s="29">
        <f t="shared" si="1"/>
        <v>3</v>
      </c>
    </row>
    <row r="30" spans="1:18" s="24" customFormat="1" ht="22.5" customHeight="1" x14ac:dyDescent="0.15">
      <c r="A30" s="27" t="s">
        <v>41</v>
      </c>
      <c r="B30" s="28">
        <v>0</v>
      </c>
      <c r="C30" s="29">
        <v>0</v>
      </c>
      <c r="D30" s="28">
        <v>7.42</v>
      </c>
      <c r="E30" s="29">
        <v>1</v>
      </c>
      <c r="F30" s="28">
        <f>3.66+3.9</f>
        <v>7.56</v>
      </c>
      <c r="G30" s="29">
        <v>2</v>
      </c>
      <c r="H30" s="28">
        <v>0</v>
      </c>
      <c r="I30" s="29">
        <v>0</v>
      </c>
      <c r="J30" s="28">
        <v>4.42</v>
      </c>
      <c r="K30" s="29">
        <v>1</v>
      </c>
      <c r="L30" s="30">
        <f t="shared" si="0"/>
        <v>19.399999999999999</v>
      </c>
      <c r="M30" s="29">
        <f t="shared" si="1"/>
        <v>4</v>
      </c>
    </row>
    <row r="31" spans="1:18" s="24" customFormat="1" ht="22.5" customHeight="1" x14ac:dyDescent="0.15">
      <c r="A31" s="27" t="s">
        <v>42</v>
      </c>
      <c r="B31" s="28">
        <v>0</v>
      </c>
      <c r="C31" s="29">
        <v>0</v>
      </c>
      <c r="D31" s="28">
        <v>7.78</v>
      </c>
      <c r="E31" s="29">
        <v>1</v>
      </c>
      <c r="F31" s="28">
        <f>3.32+4.86</f>
        <v>8.18</v>
      </c>
      <c r="G31" s="29">
        <v>2</v>
      </c>
      <c r="H31" s="28">
        <v>0</v>
      </c>
      <c r="I31" s="29">
        <v>0</v>
      </c>
      <c r="J31" s="28">
        <v>4.9000000000000004</v>
      </c>
      <c r="K31" s="29">
        <v>1</v>
      </c>
      <c r="L31" s="30">
        <f t="shared" si="0"/>
        <v>20.86</v>
      </c>
      <c r="M31" s="29">
        <f t="shared" si="1"/>
        <v>4</v>
      </c>
    </row>
    <row r="32" spans="1:18" s="24" customFormat="1" ht="22.5" customHeight="1" x14ac:dyDescent="0.15">
      <c r="A32" s="27" t="s">
        <v>43</v>
      </c>
      <c r="B32" s="28">
        <v>0</v>
      </c>
      <c r="C32" s="29">
        <v>0</v>
      </c>
      <c r="D32" s="28">
        <v>6.72</v>
      </c>
      <c r="E32" s="29">
        <v>1</v>
      </c>
      <c r="F32" s="28">
        <f>3.04+3.44</f>
        <v>6.48</v>
      </c>
      <c r="G32" s="29">
        <v>2</v>
      </c>
      <c r="H32" s="28">
        <v>0</v>
      </c>
      <c r="I32" s="29">
        <v>0</v>
      </c>
      <c r="J32" s="28">
        <v>4.92</v>
      </c>
      <c r="K32" s="29">
        <v>1</v>
      </c>
      <c r="L32" s="30">
        <f t="shared" si="0"/>
        <v>18.12</v>
      </c>
      <c r="M32" s="29">
        <f t="shared" si="1"/>
        <v>4</v>
      </c>
    </row>
    <row r="33" spans="1:17" s="24" customFormat="1" ht="22.5" customHeight="1" x14ac:dyDescent="0.15">
      <c r="A33" s="27" t="s">
        <v>44</v>
      </c>
      <c r="B33" s="28">
        <v>0</v>
      </c>
      <c r="C33" s="29">
        <v>0</v>
      </c>
      <c r="D33" s="28">
        <v>7.66</v>
      </c>
      <c r="E33" s="29">
        <v>1</v>
      </c>
      <c r="F33" s="28">
        <f>3.2+4.48</f>
        <v>7.68</v>
      </c>
      <c r="G33" s="29">
        <v>2</v>
      </c>
      <c r="H33" s="28">
        <v>0</v>
      </c>
      <c r="I33" s="29">
        <v>0</v>
      </c>
      <c r="J33" s="28">
        <v>4.74</v>
      </c>
      <c r="K33" s="29">
        <v>1</v>
      </c>
      <c r="L33" s="30">
        <f t="shared" si="0"/>
        <v>20.079999999999998</v>
      </c>
      <c r="M33" s="29">
        <f t="shared" si="1"/>
        <v>4</v>
      </c>
    </row>
    <row r="34" spans="1:17" s="24" customFormat="1" ht="22.5" customHeight="1" x14ac:dyDescent="0.15">
      <c r="A34" s="27" t="s">
        <v>45</v>
      </c>
      <c r="B34" s="28">
        <v>0</v>
      </c>
      <c r="C34" s="29">
        <v>0</v>
      </c>
      <c r="D34" s="28">
        <v>7.26</v>
      </c>
      <c r="E34" s="29">
        <v>1</v>
      </c>
      <c r="F34" s="28">
        <f>2.78+4.48</f>
        <v>7.26</v>
      </c>
      <c r="G34" s="29">
        <v>2</v>
      </c>
      <c r="H34" s="28">
        <v>0</v>
      </c>
      <c r="I34" s="29">
        <v>0</v>
      </c>
      <c r="J34" s="28">
        <v>5.0999999999999996</v>
      </c>
      <c r="K34" s="29">
        <v>1</v>
      </c>
      <c r="L34" s="30">
        <f>+B34+D34+F34+H34+J34</f>
        <v>19.62</v>
      </c>
      <c r="M34" s="29">
        <f>+C34+E34+G34+I34+K34</f>
        <v>4</v>
      </c>
    </row>
    <row r="35" spans="1:17" s="24" customFormat="1" ht="23.25" customHeight="1" x14ac:dyDescent="0.15">
      <c r="A35" s="27" t="s">
        <v>46</v>
      </c>
      <c r="B35" s="28">
        <v>0</v>
      </c>
      <c r="C35" s="29">
        <v>0</v>
      </c>
      <c r="D35" s="28">
        <v>6.54</v>
      </c>
      <c r="E35" s="29">
        <v>1</v>
      </c>
      <c r="F35" s="28">
        <v>3.88</v>
      </c>
      <c r="G35" s="29">
        <v>1</v>
      </c>
      <c r="H35" s="28">
        <v>0</v>
      </c>
      <c r="I35" s="29">
        <v>0</v>
      </c>
      <c r="J35" s="28">
        <v>0</v>
      </c>
      <c r="K35" s="29">
        <v>0</v>
      </c>
      <c r="L35" s="30">
        <f>+B35+D35+F35+H35+J35</f>
        <v>10.42</v>
      </c>
      <c r="M35" s="29">
        <f>+C35+E35+G35+I35+K35</f>
        <v>2</v>
      </c>
    </row>
    <row r="36" spans="1:17" s="24" customFormat="1" ht="25.5" customHeight="1" x14ac:dyDescent="0.15">
      <c r="A36" s="31" t="s">
        <v>13</v>
      </c>
      <c r="B36" s="32">
        <f t="shared" ref="B36:M36" si="2">SUM(B5:B35)</f>
        <v>0</v>
      </c>
      <c r="C36" s="32">
        <f t="shared" si="2"/>
        <v>0</v>
      </c>
      <c r="D36" s="32">
        <f t="shared" si="2"/>
        <v>186.84</v>
      </c>
      <c r="E36" s="29">
        <f t="shared" si="2"/>
        <v>31</v>
      </c>
      <c r="F36" s="32">
        <f t="shared" si="2"/>
        <v>189.72</v>
      </c>
      <c r="G36" s="29">
        <f t="shared" si="2"/>
        <v>52</v>
      </c>
      <c r="H36" s="32">
        <f t="shared" si="2"/>
        <v>0</v>
      </c>
      <c r="I36" s="32">
        <f t="shared" si="2"/>
        <v>0</v>
      </c>
      <c r="J36" s="32">
        <f t="shared" si="2"/>
        <v>118.4</v>
      </c>
      <c r="K36" s="29">
        <f t="shared" si="2"/>
        <v>25</v>
      </c>
      <c r="L36" s="32">
        <f t="shared" si="2"/>
        <v>494.96</v>
      </c>
      <c r="M36" s="29">
        <f t="shared" si="2"/>
        <v>108</v>
      </c>
      <c r="O36" s="46"/>
      <c r="P36" s="46"/>
      <c r="Q36" s="46"/>
    </row>
    <row r="37" spans="1:17" s="24" customFormat="1" ht="12.75" hidden="1" customHeight="1" x14ac:dyDescent="0.15">
      <c r="A37" s="33"/>
      <c r="B37" s="34"/>
      <c r="C37" s="35"/>
      <c r="D37" s="36"/>
      <c r="E37" s="37"/>
      <c r="F37" s="36"/>
      <c r="G37" s="37"/>
      <c r="H37" s="36"/>
      <c r="I37" s="37"/>
      <c r="J37" s="36"/>
      <c r="K37" s="37"/>
      <c r="L37" s="38"/>
      <c r="M37" s="39"/>
      <c r="O37" s="46"/>
      <c r="P37" s="46"/>
      <c r="Q37" s="46"/>
    </row>
    <row r="38" spans="1:17" s="25" customFormat="1" ht="18.75" customHeight="1" x14ac:dyDescent="0.25">
      <c r="A38" s="17" t="s">
        <v>81</v>
      </c>
      <c r="B38" s="17"/>
      <c r="C38" s="17"/>
      <c r="D38" s="40"/>
      <c r="E38" s="40"/>
      <c r="F38" s="40"/>
      <c r="G38" s="40"/>
      <c r="H38" s="40"/>
      <c r="I38" s="40"/>
      <c r="K38" s="40"/>
      <c r="L38" s="41"/>
      <c r="M38" s="42"/>
      <c r="O38" s="47"/>
    </row>
    <row r="39" spans="1:17" x14ac:dyDescent="0.15">
      <c r="A39" s="94"/>
      <c r="B39" s="94"/>
      <c r="C39" s="94"/>
      <c r="D39" s="94"/>
      <c r="E39" s="21"/>
      <c r="F39" s="21"/>
      <c r="G39" s="21"/>
      <c r="H39" s="21"/>
      <c r="I39" s="21"/>
      <c r="J39" s="21"/>
      <c r="K39" s="21"/>
      <c r="L39" s="43"/>
      <c r="M39" s="43"/>
      <c r="O39" s="43"/>
    </row>
    <row r="40" spans="1:17" x14ac:dyDescent="0.15">
      <c r="L40" s="43"/>
      <c r="M40" s="43"/>
    </row>
    <row r="41" spans="1:17" x14ac:dyDescent="0.15">
      <c r="L41" s="44"/>
      <c r="M41" s="44"/>
    </row>
    <row r="42" spans="1:17" x14ac:dyDescent="0.15">
      <c r="L42" s="43"/>
      <c r="M42" s="43"/>
    </row>
  </sheetData>
  <mergeCells count="10">
    <mergeCell ref="A39:D39"/>
    <mergeCell ref="A3:A4"/>
    <mergeCell ref="A1:M1"/>
    <mergeCell ref="L2:M2"/>
    <mergeCell ref="B3:C3"/>
    <mergeCell ref="D3:E3"/>
    <mergeCell ref="F3:G3"/>
    <mergeCell ref="H3:I3"/>
    <mergeCell ref="J3:K3"/>
    <mergeCell ref="L3:M3"/>
  </mergeCells>
  <phoneticPr fontId="19" type="noConversion"/>
  <pageMargins left="0.24" right="0.22" top="0.23" bottom="0.23" header="0.16" footer="0.2"/>
  <pageSetup paperSize="9" scale="90" orientation="portrait"/>
  <headerFooter scaleWithDoc="0"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L42"/>
  <sheetViews>
    <sheetView workbookViewId="0">
      <pane ySplit="4" topLeftCell="A5" activePane="bottomLeft" state="frozen"/>
      <selection pane="bottomLeft" activeCell="F7" sqref="F5:G7"/>
    </sheetView>
  </sheetViews>
  <sheetFormatPr defaultColWidth="9" defaultRowHeight="14.25" x14ac:dyDescent="0.15"/>
  <cols>
    <col min="1" max="1" width="5.375" style="1" customWidth="1"/>
    <col min="2" max="2" width="9.875" style="1" customWidth="1"/>
    <col min="3" max="3" width="6.75" style="1" customWidth="1"/>
    <col min="4" max="4" width="10.125" style="1" customWidth="1"/>
    <col min="5" max="5" width="6.625" style="1" customWidth="1"/>
    <col min="6" max="6" width="11.875" style="1" customWidth="1"/>
    <col min="7" max="7" width="7" style="1" customWidth="1"/>
    <col min="8" max="8" width="9" style="1"/>
    <col min="9" max="9" width="11.625" style="1"/>
    <col min="10" max="10" width="9.5" style="1"/>
    <col min="11" max="11" width="11.625" style="1"/>
    <col min="12" max="12" width="10.5" style="1"/>
    <col min="13" max="16384" width="9" style="1"/>
  </cols>
  <sheetData>
    <row r="1" spans="1:12" ht="35.25" customHeight="1" x14ac:dyDescent="0.15">
      <c r="A1" s="97" t="s">
        <v>0</v>
      </c>
      <c r="B1" s="97"/>
      <c r="C1" s="97"/>
      <c r="D1" s="97"/>
      <c r="E1" s="97"/>
      <c r="F1" s="97"/>
      <c r="G1" s="97"/>
    </row>
    <row r="2" spans="1:12" s="2" customFormat="1" ht="30" customHeight="1" x14ac:dyDescent="0.15">
      <c r="A2" s="4">
        <v>1000</v>
      </c>
      <c r="B2" s="4"/>
      <c r="C2" s="4"/>
      <c r="D2" s="26"/>
      <c r="E2" s="26"/>
      <c r="F2" s="111" t="s">
        <v>1</v>
      </c>
      <c r="G2" s="111"/>
    </row>
    <row r="3" spans="1:12" s="2" customFormat="1" ht="37.5" customHeight="1" x14ac:dyDescent="0.15">
      <c r="A3" s="109" t="s">
        <v>2</v>
      </c>
      <c r="B3" s="107" t="s">
        <v>76</v>
      </c>
      <c r="C3" s="108"/>
      <c r="D3" s="107" t="s">
        <v>79</v>
      </c>
      <c r="E3" s="108"/>
      <c r="F3" s="100" t="s">
        <v>13</v>
      </c>
      <c r="G3" s="101"/>
    </row>
    <row r="4" spans="1:12" s="2" customFormat="1" ht="24.75" customHeight="1" x14ac:dyDescent="0.15">
      <c r="A4" s="104"/>
      <c r="B4" s="10" t="s">
        <v>14</v>
      </c>
      <c r="C4" s="10" t="s">
        <v>15</v>
      </c>
      <c r="D4" s="7" t="s">
        <v>14</v>
      </c>
      <c r="E4" s="7" t="s">
        <v>15</v>
      </c>
      <c r="F4" s="7" t="s">
        <v>14</v>
      </c>
      <c r="G4" s="7" t="s">
        <v>15</v>
      </c>
    </row>
    <row r="5" spans="1:12" s="24" customFormat="1" ht="22.5" customHeight="1" x14ac:dyDescent="0.15">
      <c r="A5" s="27" t="s">
        <v>16</v>
      </c>
      <c r="B5" s="28">
        <v>0</v>
      </c>
      <c r="C5" s="29">
        <v>0</v>
      </c>
      <c r="D5" s="28">
        <v>0</v>
      </c>
      <c r="E5" s="29">
        <v>0</v>
      </c>
      <c r="F5" s="30">
        <f t="shared" ref="F5:F36" si="0">B5+D5</f>
        <v>0</v>
      </c>
      <c r="G5" s="29">
        <f t="shared" ref="G5:G36" si="1">C5+E5</f>
        <v>0</v>
      </c>
    </row>
    <row r="6" spans="1:12" s="24" customFormat="1" ht="22.5" customHeight="1" x14ac:dyDescent="0.15">
      <c r="A6" s="27" t="s">
        <v>17</v>
      </c>
      <c r="B6" s="28">
        <v>0</v>
      </c>
      <c r="C6" s="29">
        <v>0</v>
      </c>
      <c r="D6" s="28">
        <v>0</v>
      </c>
      <c r="E6" s="29">
        <v>0</v>
      </c>
      <c r="F6" s="30">
        <f t="shared" si="0"/>
        <v>0</v>
      </c>
      <c r="G6" s="29">
        <f t="shared" si="1"/>
        <v>0</v>
      </c>
    </row>
    <row r="7" spans="1:12" s="24" customFormat="1" ht="22.5" customHeight="1" x14ac:dyDescent="0.15">
      <c r="A7" s="27" t="s">
        <v>18</v>
      </c>
      <c r="B7" s="28">
        <v>0</v>
      </c>
      <c r="C7" s="29">
        <v>0</v>
      </c>
      <c r="D7" s="28">
        <v>0</v>
      </c>
      <c r="E7" s="29">
        <v>0</v>
      </c>
      <c r="F7" s="30">
        <f t="shared" si="0"/>
        <v>0</v>
      </c>
      <c r="G7" s="29">
        <f t="shared" si="1"/>
        <v>0</v>
      </c>
    </row>
    <row r="8" spans="1:12" s="24" customFormat="1" ht="22.5" customHeight="1" x14ac:dyDescent="0.15">
      <c r="A8" s="27" t="s">
        <v>19</v>
      </c>
      <c r="B8" s="28">
        <v>0</v>
      </c>
      <c r="C8" s="29">
        <v>0</v>
      </c>
      <c r="D8" s="28">
        <v>0</v>
      </c>
      <c r="E8" s="29">
        <v>0</v>
      </c>
      <c r="F8" s="30">
        <f t="shared" si="0"/>
        <v>0</v>
      </c>
      <c r="G8" s="29">
        <f t="shared" si="1"/>
        <v>0</v>
      </c>
    </row>
    <row r="9" spans="1:12" s="24" customFormat="1" ht="22.5" customHeight="1" x14ac:dyDescent="0.15">
      <c r="A9" s="27" t="s">
        <v>20</v>
      </c>
      <c r="B9" s="28">
        <v>0</v>
      </c>
      <c r="C9" s="29">
        <v>0</v>
      </c>
      <c r="D9" s="28">
        <v>0</v>
      </c>
      <c r="E9" s="29">
        <v>0</v>
      </c>
      <c r="F9" s="30">
        <f t="shared" si="0"/>
        <v>0</v>
      </c>
      <c r="G9" s="29">
        <f t="shared" si="1"/>
        <v>0</v>
      </c>
    </row>
    <row r="10" spans="1:12" s="24" customFormat="1" ht="22.5" customHeight="1" x14ac:dyDescent="0.15">
      <c r="A10" s="27" t="s">
        <v>21</v>
      </c>
      <c r="B10" s="28">
        <v>0</v>
      </c>
      <c r="C10" s="29">
        <v>0</v>
      </c>
      <c r="D10" s="28">
        <v>0</v>
      </c>
      <c r="E10" s="29">
        <v>0</v>
      </c>
      <c r="F10" s="30">
        <f t="shared" si="0"/>
        <v>0</v>
      </c>
      <c r="G10" s="29">
        <f t="shared" si="1"/>
        <v>0</v>
      </c>
      <c r="K10" s="45"/>
      <c r="L10" s="45"/>
    </row>
    <row r="11" spans="1:12" s="24" customFormat="1" ht="22.5" customHeight="1" x14ac:dyDescent="0.15">
      <c r="A11" s="27" t="s">
        <v>22</v>
      </c>
      <c r="B11" s="28">
        <v>0</v>
      </c>
      <c r="C11" s="29">
        <v>0</v>
      </c>
      <c r="D11" s="28">
        <v>0</v>
      </c>
      <c r="E11" s="29">
        <v>0</v>
      </c>
      <c r="F11" s="30">
        <f t="shared" si="0"/>
        <v>0</v>
      </c>
      <c r="G11" s="29">
        <f t="shared" si="1"/>
        <v>0</v>
      </c>
      <c r="K11" s="45"/>
      <c r="L11" s="45"/>
    </row>
    <row r="12" spans="1:12" s="24" customFormat="1" ht="22.5" customHeight="1" x14ac:dyDescent="0.15">
      <c r="A12" s="27" t="s">
        <v>23</v>
      </c>
      <c r="B12" s="28">
        <v>0</v>
      </c>
      <c r="C12" s="29">
        <v>0</v>
      </c>
      <c r="D12" s="28">
        <v>0</v>
      </c>
      <c r="E12" s="29">
        <v>0</v>
      </c>
      <c r="F12" s="30">
        <f t="shared" si="0"/>
        <v>0</v>
      </c>
      <c r="G12" s="29">
        <f t="shared" si="1"/>
        <v>0</v>
      </c>
      <c r="K12" s="45"/>
      <c r="L12" s="45"/>
    </row>
    <row r="13" spans="1:12" s="24" customFormat="1" ht="22.5" customHeight="1" x14ac:dyDescent="0.15">
      <c r="A13" s="27" t="s">
        <v>24</v>
      </c>
      <c r="B13" s="28">
        <v>0</v>
      </c>
      <c r="C13" s="29">
        <v>0</v>
      </c>
      <c r="D13" s="28">
        <v>0</v>
      </c>
      <c r="E13" s="29">
        <v>0</v>
      </c>
      <c r="F13" s="30">
        <f t="shared" si="0"/>
        <v>0</v>
      </c>
      <c r="G13" s="29">
        <f t="shared" si="1"/>
        <v>0</v>
      </c>
      <c r="K13" s="45"/>
      <c r="L13" s="45"/>
    </row>
    <row r="14" spans="1:12" s="24" customFormat="1" ht="22.5" customHeight="1" x14ac:dyDescent="0.15">
      <c r="A14" s="27" t="s">
        <v>25</v>
      </c>
      <c r="B14" s="28">
        <v>0</v>
      </c>
      <c r="C14" s="29">
        <v>0</v>
      </c>
      <c r="D14" s="28">
        <v>0</v>
      </c>
      <c r="E14" s="29">
        <v>0</v>
      </c>
      <c r="F14" s="30">
        <f t="shared" si="0"/>
        <v>0</v>
      </c>
      <c r="G14" s="29">
        <f t="shared" si="1"/>
        <v>0</v>
      </c>
      <c r="K14" s="45"/>
      <c r="L14" s="45"/>
    </row>
    <row r="15" spans="1:12" s="24" customFormat="1" ht="22.5" customHeight="1" x14ac:dyDescent="0.15">
      <c r="A15" s="27" t="s">
        <v>26</v>
      </c>
      <c r="B15" s="28">
        <v>0</v>
      </c>
      <c r="C15" s="29">
        <v>0</v>
      </c>
      <c r="D15" s="28">
        <v>0</v>
      </c>
      <c r="E15" s="29">
        <v>0</v>
      </c>
      <c r="F15" s="30">
        <f t="shared" si="0"/>
        <v>0</v>
      </c>
      <c r="G15" s="29">
        <f t="shared" si="1"/>
        <v>0</v>
      </c>
      <c r="K15" s="45"/>
      <c r="L15" s="45"/>
    </row>
    <row r="16" spans="1:12" s="24" customFormat="1" ht="22.5" customHeight="1" x14ac:dyDescent="0.15">
      <c r="A16" s="27" t="s">
        <v>27</v>
      </c>
      <c r="B16" s="28">
        <v>0</v>
      </c>
      <c r="C16" s="29">
        <v>0</v>
      </c>
      <c r="D16" s="28">
        <v>0</v>
      </c>
      <c r="E16" s="29">
        <v>0</v>
      </c>
      <c r="F16" s="30">
        <f t="shared" si="0"/>
        <v>0</v>
      </c>
      <c r="G16" s="29">
        <f t="shared" si="1"/>
        <v>0</v>
      </c>
      <c r="K16" s="45"/>
      <c r="L16" s="45"/>
    </row>
    <row r="17" spans="1:12" s="24" customFormat="1" ht="22.5" customHeight="1" x14ac:dyDescent="0.15">
      <c r="A17" s="27" t="s">
        <v>28</v>
      </c>
      <c r="B17" s="28">
        <v>0</v>
      </c>
      <c r="C17" s="29">
        <v>0</v>
      </c>
      <c r="D17" s="28">
        <v>0</v>
      </c>
      <c r="E17" s="29">
        <v>0</v>
      </c>
      <c r="F17" s="30">
        <f t="shared" si="0"/>
        <v>0</v>
      </c>
      <c r="G17" s="29">
        <f t="shared" si="1"/>
        <v>0</v>
      </c>
      <c r="K17" s="45"/>
      <c r="L17" s="45"/>
    </row>
    <row r="18" spans="1:12" s="24" customFormat="1" ht="22.5" customHeight="1" x14ac:dyDescent="0.15">
      <c r="A18" s="27" t="s">
        <v>29</v>
      </c>
      <c r="B18" s="28">
        <v>0</v>
      </c>
      <c r="C18" s="29">
        <v>0</v>
      </c>
      <c r="D18" s="28">
        <v>0</v>
      </c>
      <c r="E18" s="29">
        <v>0</v>
      </c>
      <c r="F18" s="30">
        <f t="shared" si="0"/>
        <v>0</v>
      </c>
      <c r="G18" s="29">
        <f t="shared" si="1"/>
        <v>0</v>
      </c>
      <c r="K18" s="45"/>
      <c r="L18" s="45"/>
    </row>
    <row r="19" spans="1:12" s="24" customFormat="1" ht="22.5" customHeight="1" x14ac:dyDescent="0.15">
      <c r="A19" s="27" t="s">
        <v>30</v>
      </c>
      <c r="B19" s="28">
        <v>0</v>
      </c>
      <c r="C19" s="29">
        <v>0</v>
      </c>
      <c r="D19" s="28">
        <v>0</v>
      </c>
      <c r="E19" s="29">
        <v>0</v>
      </c>
      <c r="F19" s="30">
        <f t="shared" si="0"/>
        <v>0</v>
      </c>
      <c r="G19" s="29">
        <f t="shared" si="1"/>
        <v>0</v>
      </c>
      <c r="K19" s="45"/>
      <c r="L19" s="45"/>
    </row>
    <row r="20" spans="1:12" s="24" customFormat="1" ht="22.5" customHeight="1" x14ac:dyDescent="0.15">
      <c r="A20" s="27" t="s">
        <v>31</v>
      </c>
      <c r="B20" s="28">
        <v>0</v>
      </c>
      <c r="C20" s="29">
        <v>0</v>
      </c>
      <c r="D20" s="28">
        <v>0</v>
      </c>
      <c r="E20" s="29">
        <v>0</v>
      </c>
      <c r="F20" s="30">
        <f t="shared" si="0"/>
        <v>0</v>
      </c>
      <c r="G20" s="29">
        <f t="shared" si="1"/>
        <v>0</v>
      </c>
      <c r="K20" s="45"/>
      <c r="L20" s="45"/>
    </row>
    <row r="21" spans="1:12" s="24" customFormat="1" ht="22.5" customHeight="1" x14ac:dyDescent="0.15">
      <c r="A21" s="27" t="s">
        <v>32</v>
      </c>
      <c r="B21" s="28">
        <v>0</v>
      </c>
      <c r="C21" s="29">
        <v>0</v>
      </c>
      <c r="D21" s="28">
        <v>0</v>
      </c>
      <c r="E21" s="29">
        <v>0</v>
      </c>
      <c r="F21" s="30">
        <f t="shared" si="0"/>
        <v>0</v>
      </c>
      <c r="G21" s="29">
        <f t="shared" si="1"/>
        <v>0</v>
      </c>
    </row>
    <row r="22" spans="1:12" s="24" customFormat="1" ht="22.5" customHeight="1" x14ac:dyDescent="0.15">
      <c r="A22" s="27" t="s">
        <v>33</v>
      </c>
      <c r="B22" s="28">
        <v>0</v>
      </c>
      <c r="C22" s="29">
        <v>0</v>
      </c>
      <c r="D22" s="28">
        <v>0</v>
      </c>
      <c r="E22" s="29">
        <v>0</v>
      </c>
      <c r="F22" s="30">
        <f t="shared" si="0"/>
        <v>0</v>
      </c>
      <c r="G22" s="29">
        <f t="shared" si="1"/>
        <v>0</v>
      </c>
    </row>
    <row r="23" spans="1:12" s="24" customFormat="1" ht="22.5" customHeight="1" x14ac:dyDescent="0.15">
      <c r="A23" s="27" t="s">
        <v>34</v>
      </c>
      <c r="B23" s="28">
        <v>0</v>
      </c>
      <c r="C23" s="29">
        <v>0</v>
      </c>
      <c r="D23" s="12">
        <v>6.4</v>
      </c>
      <c r="E23" s="29">
        <v>1</v>
      </c>
      <c r="F23" s="30">
        <f t="shared" si="0"/>
        <v>6.4</v>
      </c>
      <c r="G23" s="29">
        <f t="shared" si="1"/>
        <v>1</v>
      </c>
    </row>
    <row r="24" spans="1:12" s="24" customFormat="1" ht="22.5" customHeight="1" x14ac:dyDescent="0.15">
      <c r="A24" s="27" t="s">
        <v>35</v>
      </c>
      <c r="B24" s="28">
        <v>8.58</v>
      </c>
      <c r="C24" s="29">
        <v>1</v>
      </c>
      <c r="D24" s="12">
        <v>3.8</v>
      </c>
      <c r="E24" s="29">
        <v>1</v>
      </c>
      <c r="F24" s="30">
        <f t="shared" si="0"/>
        <v>12.38</v>
      </c>
      <c r="G24" s="29">
        <f t="shared" si="1"/>
        <v>2</v>
      </c>
    </row>
    <row r="25" spans="1:12" s="24" customFormat="1" ht="22.5" customHeight="1" x14ac:dyDescent="0.15">
      <c r="A25" s="27" t="s">
        <v>36</v>
      </c>
      <c r="B25" s="28">
        <v>9.68</v>
      </c>
      <c r="C25" s="29">
        <v>1</v>
      </c>
      <c r="D25" s="28">
        <f>7.44+5.94</f>
        <v>13.38</v>
      </c>
      <c r="E25" s="29">
        <v>2</v>
      </c>
      <c r="F25" s="30">
        <f t="shared" si="0"/>
        <v>23.06</v>
      </c>
      <c r="G25" s="29">
        <f t="shared" si="1"/>
        <v>3</v>
      </c>
    </row>
    <row r="26" spans="1:12" s="24" customFormat="1" ht="22.5" customHeight="1" x14ac:dyDescent="0.15">
      <c r="A26" s="27" t="s">
        <v>37</v>
      </c>
      <c r="B26" s="28">
        <v>9.6199999999999992</v>
      </c>
      <c r="C26" s="29">
        <v>1</v>
      </c>
      <c r="D26" s="28">
        <v>7.96</v>
      </c>
      <c r="E26" s="29">
        <v>1</v>
      </c>
      <c r="F26" s="30">
        <f t="shared" si="0"/>
        <v>17.579999999999998</v>
      </c>
      <c r="G26" s="29">
        <f t="shared" si="1"/>
        <v>2</v>
      </c>
    </row>
    <row r="27" spans="1:12" s="24" customFormat="1" ht="22.5" customHeight="1" x14ac:dyDescent="0.15">
      <c r="A27" s="27" t="s">
        <v>38</v>
      </c>
      <c r="B27" s="28">
        <v>0</v>
      </c>
      <c r="C27" s="29">
        <v>0</v>
      </c>
      <c r="D27" s="28">
        <v>0</v>
      </c>
      <c r="E27" s="29">
        <v>0</v>
      </c>
      <c r="F27" s="30">
        <f t="shared" si="0"/>
        <v>0</v>
      </c>
      <c r="G27" s="29">
        <f t="shared" si="1"/>
        <v>0</v>
      </c>
    </row>
    <row r="28" spans="1:12" s="24" customFormat="1" ht="22.5" customHeight="1" x14ac:dyDescent="0.15">
      <c r="A28" s="27" t="s">
        <v>39</v>
      </c>
      <c r="B28" s="28">
        <v>0</v>
      </c>
      <c r="C28" s="29">
        <v>0</v>
      </c>
      <c r="D28" s="28">
        <v>0</v>
      </c>
      <c r="E28" s="29">
        <v>0</v>
      </c>
      <c r="F28" s="30">
        <f t="shared" si="0"/>
        <v>0</v>
      </c>
      <c r="G28" s="29">
        <f t="shared" si="1"/>
        <v>0</v>
      </c>
    </row>
    <row r="29" spans="1:12" s="24" customFormat="1" ht="22.5" customHeight="1" x14ac:dyDescent="0.15">
      <c r="A29" s="27" t="s">
        <v>40</v>
      </c>
      <c r="B29" s="28">
        <v>0</v>
      </c>
      <c r="C29" s="29">
        <v>0</v>
      </c>
      <c r="D29" s="28">
        <v>0</v>
      </c>
      <c r="E29" s="29">
        <v>0</v>
      </c>
      <c r="F29" s="30">
        <f t="shared" si="0"/>
        <v>0</v>
      </c>
      <c r="G29" s="29">
        <f t="shared" si="1"/>
        <v>0</v>
      </c>
    </row>
    <row r="30" spans="1:12" s="24" customFormat="1" ht="22.5" customHeight="1" x14ac:dyDescent="0.15">
      <c r="A30" s="27" t="s">
        <v>41</v>
      </c>
      <c r="B30" s="28">
        <v>0</v>
      </c>
      <c r="C30" s="29">
        <v>0</v>
      </c>
      <c r="D30" s="28">
        <v>0</v>
      </c>
      <c r="E30" s="29">
        <v>0</v>
      </c>
      <c r="F30" s="30">
        <f t="shared" si="0"/>
        <v>0</v>
      </c>
      <c r="G30" s="29">
        <f t="shared" si="1"/>
        <v>0</v>
      </c>
    </row>
    <row r="31" spans="1:12" s="24" customFormat="1" ht="22.5" customHeight="1" x14ac:dyDescent="0.15">
      <c r="A31" s="27" t="s">
        <v>42</v>
      </c>
      <c r="B31" s="28">
        <v>0</v>
      </c>
      <c r="C31" s="29">
        <v>0</v>
      </c>
      <c r="D31" s="28">
        <v>0</v>
      </c>
      <c r="E31" s="29">
        <v>0</v>
      </c>
      <c r="F31" s="30">
        <f t="shared" si="0"/>
        <v>0</v>
      </c>
      <c r="G31" s="29">
        <f t="shared" si="1"/>
        <v>0</v>
      </c>
    </row>
    <row r="32" spans="1:12" s="24" customFormat="1" ht="22.5" customHeight="1" x14ac:dyDescent="0.15">
      <c r="A32" s="27" t="s">
        <v>43</v>
      </c>
      <c r="B32" s="28">
        <v>0</v>
      </c>
      <c r="C32" s="29">
        <v>0</v>
      </c>
      <c r="D32" s="28">
        <v>0</v>
      </c>
      <c r="E32" s="29">
        <v>0</v>
      </c>
      <c r="F32" s="30">
        <f t="shared" si="0"/>
        <v>0</v>
      </c>
      <c r="G32" s="29">
        <f t="shared" si="1"/>
        <v>0</v>
      </c>
    </row>
    <row r="33" spans="1:11" s="24" customFormat="1" ht="22.5" customHeight="1" x14ac:dyDescent="0.15">
      <c r="A33" s="27" t="s">
        <v>44</v>
      </c>
      <c r="B33" s="28">
        <v>0</v>
      </c>
      <c r="C33" s="29">
        <v>0</v>
      </c>
      <c r="D33" s="28">
        <v>0</v>
      </c>
      <c r="E33" s="29">
        <v>0</v>
      </c>
      <c r="F33" s="30">
        <f t="shared" si="0"/>
        <v>0</v>
      </c>
      <c r="G33" s="29">
        <f t="shared" si="1"/>
        <v>0</v>
      </c>
    </row>
    <row r="34" spans="1:11" s="24" customFormat="1" ht="22.5" customHeight="1" x14ac:dyDescent="0.15">
      <c r="A34" s="27" t="s">
        <v>45</v>
      </c>
      <c r="B34" s="28">
        <v>0</v>
      </c>
      <c r="C34" s="29">
        <v>0</v>
      </c>
      <c r="D34" s="28">
        <v>0</v>
      </c>
      <c r="E34" s="29">
        <v>0</v>
      </c>
      <c r="F34" s="30">
        <f t="shared" si="0"/>
        <v>0</v>
      </c>
      <c r="G34" s="29">
        <f t="shared" si="1"/>
        <v>0</v>
      </c>
    </row>
    <row r="35" spans="1:11" s="24" customFormat="1" ht="23.25" customHeight="1" x14ac:dyDescent="0.15">
      <c r="A35" s="27" t="s">
        <v>46</v>
      </c>
      <c r="B35" s="28">
        <v>0</v>
      </c>
      <c r="C35" s="29">
        <v>0</v>
      </c>
      <c r="D35" s="28">
        <v>0</v>
      </c>
      <c r="E35" s="29">
        <v>0</v>
      </c>
      <c r="F35" s="30">
        <f t="shared" si="0"/>
        <v>0</v>
      </c>
      <c r="G35" s="29">
        <f t="shared" si="1"/>
        <v>0</v>
      </c>
    </row>
    <row r="36" spans="1:11" s="24" customFormat="1" ht="25.5" customHeight="1" x14ac:dyDescent="0.15">
      <c r="A36" s="31" t="s">
        <v>13</v>
      </c>
      <c r="B36" s="32">
        <f>SUM(B5:B35)</f>
        <v>27.88</v>
      </c>
      <c r="C36" s="29">
        <f>SUM(C5:C35)</f>
        <v>3</v>
      </c>
      <c r="D36" s="32">
        <f>SUM(D5:D35)</f>
        <v>31.54</v>
      </c>
      <c r="E36" s="29">
        <f>SUM(E5:E35)</f>
        <v>5</v>
      </c>
      <c r="F36" s="30">
        <f t="shared" si="0"/>
        <v>59.42</v>
      </c>
      <c r="G36" s="29">
        <f t="shared" si="1"/>
        <v>8</v>
      </c>
      <c r="I36" s="46"/>
      <c r="J36" s="46"/>
      <c r="K36" s="46"/>
    </row>
    <row r="37" spans="1:11" s="24" customFormat="1" ht="12.75" hidden="1" customHeight="1" x14ac:dyDescent="0.15">
      <c r="A37" s="33"/>
      <c r="B37" s="34"/>
      <c r="C37" s="35"/>
      <c r="D37" s="36"/>
      <c r="E37" s="37"/>
      <c r="F37" s="38"/>
      <c r="G37" s="39"/>
      <c r="I37" s="46"/>
      <c r="J37" s="46"/>
      <c r="K37" s="46"/>
    </row>
    <row r="38" spans="1:11" s="25" customFormat="1" ht="18.75" customHeight="1" x14ac:dyDescent="0.25">
      <c r="A38" s="17" t="s">
        <v>81</v>
      </c>
      <c r="B38" s="17"/>
      <c r="C38" s="17"/>
      <c r="D38" s="40"/>
      <c r="E38" s="40"/>
      <c r="F38" s="41"/>
      <c r="G38" s="42"/>
      <c r="I38" s="47"/>
    </row>
    <row r="39" spans="1:11" x14ac:dyDescent="0.15">
      <c r="A39" s="94"/>
      <c r="B39" s="94"/>
      <c r="C39" s="94"/>
      <c r="D39" s="21"/>
      <c r="E39" s="21"/>
      <c r="F39" s="43"/>
      <c r="G39" s="43"/>
      <c r="I39" s="43"/>
    </row>
    <row r="40" spans="1:11" x14ac:dyDescent="0.15">
      <c r="F40" s="43"/>
      <c r="G40" s="43"/>
    </row>
    <row r="41" spans="1:11" x14ac:dyDescent="0.15">
      <c r="F41" s="44"/>
      <c r="G41" s="44"/>
    </row>
    <row r="42" spans="1:11" x14ac:dyDescent="0.15">
      <c r="F42" s="43"/>
      <c r="G42" s="43"/>
    </row>
  </sheetData>
  <mergeCells count="7">
    <mergeCell ref="A39:C39"/>
    <mergeCell ref="A3:A4"/>
    <mergeCell ref="A1:G1"/>
    <mergeCell ref="F2:G2"/>
    <mergeCell ref="B3:C3"/>
    <mergeCell ref="D3:E3"/>
    <mergeCell ref="F3:G3"/>
  </mergeCells>
  <phoneticPr fontId="19" type="noConversion"/>
  <pageMargins left="0.24" right="0.22" top="0.23" bottom="0.23" header="0.16" footer="0.2"/>
  <pageSetup paperSize="9" scale="90" orientation="portrait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8</vt:i4>
      </vt:variant>
    </vt:vector>
  </HeadingPairs>
  <TitlesOfParts>
    <vt:vector size="18" baseType="lpstr">
      <vt:lpstr>餐饮 排水</vt:lpstr>
      <vt:lpstr>餐饮 西岗区</vt:lpstr>
      <vt:lpstr>厨余西岗分类B标</vt:lpstr>
      <vt:lpstr>餐饮 甘井子</vt:lpstr>
      <vt:lpstr>厨余甘井子 </vt:lpstr>
      <vt:lpstr>餐饮沙河口</vt:lpstr>
      <vt:lpstr>厨余沙河口 </vt:lpstr>
      <vt:lpstr>餐厨中山区</vt:lpstr>
      <vt:lpstr>厨余中山区 </vt:lpstr>
      <vt:lpstr>厨余高新园区餐厨A标</vt:lpstr>
      <vt:lpstr>餐厨中山区!Print_Area</vt:lpstr>
      <vt:lpstr>'餐饮 甘井子'!Print_Area</vt:lpstr>
      <vt:lpstr>'餐饮 排水'!Print_Area</vt:lpstr>
      <vt:lpstr>'餐饮 西岗区'!Print_Area</vt:lpstr>
      <vt:lpstr>餐饮沙河口!Print_Area</vt:lpstr>
      <vt:lpstr>'厨余甘井子 '!Print_Area</vt:lpstr>
      <vt:lpstr>'厨余沙河口 '!Print_Area</vt:lpstr>
      <vt:lpstr>'厨余中山区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于鑫鹏</cp:lastModifiedBy>
  <dcterms:created xsi:type="dcterms:W3CDTF">2024-04-07T02:56:47Z</dcterms:created>
  <dcterms:modified xsi:type="dcterms:W3CDTF">2024-04-07T03:02:23Z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FF9DCD66692F4F79A7C233842C32F362_11</vt:lpwstr>
  </property>
  <property fmtid="{D5CDD505-2E9C-101B-9397-08002B2CF9AE}" pid="3" name="KSOProductBuildVer">
    <vt:lpwstr>2052-12.1.0.16417</vt:lpwstr>
  </property>
</Properties>
</file>