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餐饮 排水" sheetId="2" r:id="rId1"/>
    <sheet name="餐饮 西岗区" sheetId="3" r:id="rId2"/>
    <sheet name="餐饮 甘井子" sheetId="4" r:id="rId3"/>
    <sheet name="餐饮沙河口" sheetId="5" r:id="rId4"/>
    <sheet name="厨余沙河口" sheetId="6" r:id="rId5"/>
    <sheet name="餐厨中山区" sheetId="7" r:id="rId6"/>
  </sheets>
  <definedNames>
    <definedName name="_xlnm.Print_Area" localSheetId="0">'餐饮 排水'!$A$1:$O$39</definedName>
    <definedName name="_xlnm.Print_Area" localSheetId="1">'餐饮 西岗区'!$A$1:$I$38</definedName>
    <definedName name="_xlnm.Print_Area" localSheetId="2">'餐饮 甘井子'!$A$1:$AC$39</definedName>
    <definedName name="_xlnm.Print_Area" localSheetId="3">餐饮沙河口!$A$1:$K$37</definedName>
    <definedName name="_xlnm.Print_Area" localSheetId="5">餐厨中山区!$A$1:$M$38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<sst xmlns="http://schemas.openxmlformats.org/spreadsheetml/2006/main" count="338" uniqueCount="76">
  <si>
    <t xml:space="preserve">夏家河污泥厂2024年1月餐饮垃圾处理量统计表                       </t>
  </si>
  <si>
    <t xml:space="preserve">                                                               单位：吨</t>
  </si>
  <si>
    <t>日期</t>
  </si>
  <si>
    <t>甘井子区餐厨</t>
  </si>
  <si>
    <t>西岗区餐厨</t>
  </si>
  <si>
    <t>西岗区B标（金洁市容环境）</t>
  </si>
  <si>
    <t>中山区餐厨</t>
  </si>
  <si>
    <t>沙河口区餐厨</t>
  </si>
  <si>
    <t>沙河口区厨余</t>
  </si>
  <si>
    <t>合计</t>
  </si>
  <si>
    <t>重量</t>
  </si>
  <si>
    <t>车数</t>
  </si>
  <si>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</si>
  <si>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</si>
  <si>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</si>
  <si>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</si>
  <si>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</si>
  <si>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</si>
  <si>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</si>
  <si>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</si>
  <si>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</si>
  <si>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</si>
  <si>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</si>
  <si>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</si>
  <si>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</si>
  <si>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</si>
  <si>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</si>
  <si>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</si>
  <si>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</si>
  <si>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</si>
  <si>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</si>
  <si>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</si>
  <si>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</si>
  <si>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</si>
  <si>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</si>
  <si>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</si>
  <si>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</si>
  <si>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</si>
  <si>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</si>
  <si>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</si>
  <si>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</si>
  <si>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</si>
  <si>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</si>
  <si>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 xml:space="preserve">          负责人             审核人              制表人                 日期</t>
  </si>
  <si>
    <t>单位：吨</t>
  </si>
  <si>
    <t>西岗区A标（明悦市容环境）</t>
  </si>
  <si>
    <t>西岗区分类A标</t>
  </si>
  <si>
    <t xml:space="preserve">        负责人            审核人             制表人              日期</t>
  </si>
  <si>
    <t>甘井子01标段</t>
  </si>
  <si>
    <t>甘井子02标段</t>
  </si>
  <si>
    <t>甘井子03标段</t>
  </si>
  <si>
    <t>甘井子04标段</t>
  </si>
  <si>
    <t>甘井子05标段</t>
  </si>
  <si>
    <t>甘井子06标段</t>
  </si>
  <si>
    <t>甘井子07标段</t>
  </si>
  <si>
    <t>甘井子08标段</t>
  </si>
  <si>
    <t>甘井子09标段</t>
  </si>
  <si>
    <t>甘井子10标段</t>
  </si>
  <si>
    <t>甘井子11标段</t>
  </si>
  <si>
    <t>甘井子12标段</t>
  </si>
  <si>
    <t>甘井子13标段</t>
  </si>
  <si>
    <t xml:space="preserve"> 负责人                                       审核人                                           制表人                                         日期</t>
  </si>
  <si>
    <t>沙河口区01标段</t>
  </si>
  <si>
    <t>沙河口区02标段</t>
  </si>
  <si>
    <t>沙河口区03标段</t>
  </si>
  <si>
    <t>沙河口区04标段</t>
  </si>
  <si>
    <t xml:space="preserve">     负责人                  审核人                  制表人                  日期</t>
  </si>
  <si>
    <t>厨余沙河口04标段</t>
  </si>
  <si>
    <t xml:space="preserve">   负责人              审核人                制表人                日期</t>
  </si>
  <si>
    <t>作成</t>
  </si>
  <si>
    <t>中山区01标段</t>
  </si>
  <si>
    <t>中山区02标段</t>
  </si>
  <si>
    <t>中山区03标段</t>
  </si>
  <si>
    <t>中山区04标段</t>
  </si>
  <si>
    <t>中山区05标段</t>
  </si>
  <si>
    <t xml:space="preserve">       负责人             审核人               制表人                      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</si>
</sst>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_ * #,##0.00_ ;_ * \-#,##0.00_ ;_ * &quot;-&quot;_ ;_ @_ "/>
    <numFmt numFmtId="178" formatCode="_ * #,##0_ ;_ * \-#,##0_ ;_ 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</font>
    <font>
      <b/>
      <sz val="11"/>
      <color indexed="9"/>
      <name val="宋体"/>
      <charset val="134"/>
    </font>
    <font>
      <b/>
      <sz val="13"/>
      <name val="宋体"/>
      <charset val="134"/>
    </font>
    <font>
      <b/>
      <sz val="12"/>
      <name val="宋体"/>
      <charset val="134"/>
    </font>
    <font>
      <sz val="11"/>
      <color indexed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28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8"/>
      <name val="宋体"/>
      <charset val="134"/>
    </font>
    <font>
      <sz val="12"/>
      <color indexed="10"/>
      <name val="宋体"/>
      <charset val="134"/>
    </font>
    <font>
      <sz val="14"/>
      <name val="宋体"/>
      <charset val="134"/>
    </font>
    <font>
      <b/>
      <sz val="14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8" borderId="14" applyNumberFormat="0" applyAlignment="0" applyProtection="0">
      <alignment vertical="center"/>
    </xf>
    <xf numFmtId="0" fontId="28" fillId="8" borderId="13" applyNumberFormat="0" applyAlignment="0" applyProtection="0">
      <alignment vertical="center"/>
    </xf>
    <xf numFmtId="0" fontId="29" fillId="9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 shrinkToFit="1"/>
    </xf>
    <xf numFmtId="41" fontId="7" fillId="0" borderId="6" xfId="0" applyNumberFormat="1" applyFont="1" applyFill="1" applyBorder="1" applyAlignment="1">
      <alignment horizontal="center" vertical="center" shrinkToFit="1"/>
    </xf>
    <xf numFmtId="31" fontId="7" fillId="0" borderId="6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31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177" fontId="7" fillId="2" borderId="0" xfId="0" applyNumberFormat="1" applyFont="1" applyFill="1" applyBorder="1" applyAlignment="1">
      <alignment horizontal="center" vertical="center" shrinkToFit="1"/>
    </xf>
    <xf numFmtId="41" fontId="7" fillId="2" borderId="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/>
    <xf numFmtId="176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41" fontId="3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43" fontId="1" fillId="0" borderId="0" xfId="0" applyNumberFormat="1" applyFont="1" applyFill="1" applyBorder="1" applyAlignment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0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/>
    </xf>
    <xf numFmtId="177" fontId="7" fillId="2" borderId="6" xfId="0" applyNumberFormat="1" applyFont="1" applyFill="1" applyBorder="1" applyAlignment="1">
      <alignment horizontal="center" vertical="center" shrinkToFit="1"/>
    </xf>
    <xf numFmtId="41" fontId="7" fillId="2" borderId="6" xfId="0" applyNumberFormat="1" applyFont="1" applyFill="1" applyBorder="1" applyAlignment="1">
      <alignment horizontal="center" vertical="center" shrinkToFit="1"/>
    </xf>
    <xf numFmtId="41" fontId="7" fillId="0" borderId="6" xfId="0" applyNumberFormat="1" applyFont="1" applyFill="1" applyBorder="1" applyAlignment="1">
      <alignment vertical="center"/>
    </xf>
    <xf numFmtId="31" fontId="7" fillId="0" borderId="6" xfId="0" applyNumberFormat="1" applyFont="1" applyFill="1" applyBorder="1" applyAlignment="1">
      <alignment horizontal="center"/>
    </xf>
    <xf numFmtId="41" fontId="7" fillId="0" borderId="6" xfId="0" applyNumberFormat="1" applyFont="1" applyFill="1" applyBorder="1" applyAlignment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31" fontId="10" fillId="0" borderId="9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/>
    <xf numFmtId="41" fontId="1" fillId="0" borderId="6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 wrapText="1"/>
    </xf>
    <xf numFmtId="41" fontId="7" fillId="0" borderId="6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/>
    <xf numFmtId="177" fontId="3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31" fontId="12" fillId="0" borderId="6" xfId="0" applyNumberFormat="1" applyFont="1" applyFill="1" applyBorder="1" applyAlignment="1">
      <alignment horizontal="center" vertical="center"/>
    </xf>
    <xf numFmtId="31" fontId="12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 shrinkToFit="1"/>
    </xf>
    <xf numFmtId="41" fontId="6" fillId="2" borderId="0" xfId="0" applyNumberFormat="1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/>
    <xf numFmtId="176" fontId="14" fillId="0" borderId="0" xfId="0" applyNumberFormat="1" applyFont="1" applyFill="1" applyBorder="1" applyAlignment="1"/>
    <xf numFmtId="176" fontId="3" fillId="0" borderId="0" xfId="0" applyNumberFormat="1" applyFont="1" applyFill="1" applyBorder="1" applyAlignment="1">
      <alignment horizontal="left"/>
    </xf>
    <xf numFmtId="43" fontId="1" fillId="0" borderId="0" xfId="0" applyNumberFormat="1" applyFont="1" applyFill="1" applyBorder="1" applyAlignment="1"/>
    <xf numFmtId="31" fontId="3" fillId="0" borderId="0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43" fontId="1" fillId="3" borderId="0" xfId="0" applyNumberFormat="1" applyFont="1" applyFill="1" applyBorder="1" applyAlignment="1"/>
    <xf numFmtId="178" fontId="1" fillId="3" borderId="0" xfId="0" applyNumberFormat="1" applyFont="1" applyFill="1" applyBorder="1" applyAlignment="1"/>
    <xf numFmtId="177" fontId="1" fillId="4" borderId="0" xfId="0" applyNumberFormat="1" applyFont="1" applyFill="1" applyBorder="1" applyAlignment="1"/>
    <xf numFmtId="41" fontId="1" fillId="4" borderId="0" xfId="0" applyNumberFormat="1" applyFont="1" applyFill="1" applyBorder="1" applyAlignment="1"/>
    <xf numFmtId="177" fontId="15" fillId="0" borderId="0" xfId="0" applyNumberFormat="1" applyFont="1" applyFill="1" applyBorder="1" applyAlignment="1"/>
    <xf numFmtId="41" fontId="15" fillId="0" borderId="0" xfId="0" applyNumberFormat="1" applyFont="1" applyFill="1" applyBorder="1" applyAlignment="1"/>
    <xf numFmtId="43" fontId="1" fillId="5" borderId="0" xfId="0" applyNumberFormat="1" applyFont="1" applyFill="1" applyBorder="1" applyAlignment="1"/>
    <xf numFmtId="178" fontId="1" fillId="5" borderId="0" xfId="0" applyNumberFormat="1" applyFont="1" applyFill="1" applyBorder="1" applyAlignment="1"/>
    <xf numFmtId="177" fontId="12" fillId="0" borderId="6" xfId="0" applyNumberFormat="1" applyFont="1" applyFill="1" applyBorder="1" applyAlignment="1">
      <alignment horizontal="center" vertical="center" shrinkToFit="1"/>
    </xf>
    <xf numFmtId="41" fontId="12" fillId="0" borderId="6" xfId="0" applyNumberFormat="1" applyFont="1" applyFill="1" applyBorder="1" applyAlignment="1">
      <alignment horizontal="center" vertical="center" shrinkToFit="1"/>
    </xf>
    <xf numFmtId="177" fontId="12" fillId="0" borderId="6" xfId="0" applyNumberFormat="1" applyFont="1" applyFill="1" applyBorder="1" applyAlignment="1">
      <alignment vertical="center"/>
    </xf>
    <xf numFmtId="177" fontId="6" fillId="2" borderId="6" xfId="0" applyNumberFormat="1" applyFont="1" applyFill="1" applyBorder="1" applyAlignment="1">
      <alignment horizontal="center" vertical="center" shrinkToFit="1"/>
    </xf>
    <xf numFmtId="41" fontId="12" fillId="0" borderId="6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/>
    <xf numFmtId="177" fontId="17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108013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108013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10160</xdr:rowOff>
    </xdr:to>
    <xdr:sp>
      <xdr:nvSpPr>
        <xdr:cNvPr id="4" name="Line 3"/>
        <xdr:cNvSpPr/>
      </xdr:nvSpPr>
      <xdr:spPr>
        <a:xfrm>
          <a:off x="10801350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10160</xdr:rowOff>
    </xdr:to>
    <xdr:sp>
      <xdr:nvSpPr>
        <xdr:cNvPr id="5" name="Line 4"/>
        <xdr:cNvSpPr/>
      </xdr:nvSpPr>
      <xdr:spPr>
        <a:xfrm>
          <a:off x="10801350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83724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83724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10160</xdr:rowOff>
    </xdr:to>
    <xdr:sp>
      <xdr:nvSpPr>
        <xdr:cNvPr id="4" name="Line 3"/>
        <xdr:cNvSpPr/>
      </xdr:nvSpPr>
      <xdr:spPr>
        <a:xfrm>
          <a:off x="8372475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10160</xdr:rowOff>
    </xdr:to>
    <xdr:sp>
      <xdr:nvSpPr>
        <xdr:cNvPr id="5" name="Line 4"/>
        <xdr:cNvSpPr/>
      </xdr:nvSpPr>
      <xdr:spPr>
        <a:xfrm>
          <a:off x="8372475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182308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182308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18230850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18230850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738187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738187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738187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738187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0</xdr:colOff>
      <xdr:row>2</xdr:row>
      <xdr:rowOff>9525</xdr:rowOff>
    </xdr:from>
    <xdr:to>
      <xdr:col>11</xdr:col>
      <xdr:colOff>0</xdr:colOff>
      <xdr:row>3</xdr:row>
      <xdr:rowOff>0</xdr:rowOff>
    </xdr:to>
    <xdr:sp>
      <xdr:nvSpPr>
        <xdr:cNvPr id="2" name="Line 1"/>
        <xdr:cNvSpPr/>
      </xdr:nvSpPr>
      <xdr:spPr>
        <a:xfrm>
          <a:off x="5753100" y="552450"/>
          <a:ext cx="0" cy="29527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7791450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7791450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7791450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7791450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S45"/>
  <sheetViews>
    <sheetView tabSelected="1" zoomScaleSheetLayoutView="60" workbookViewId="0">
      <pane xSplit="1" ySplit="4" topLeftCell="B29" activePane="bottomRight" state="frozen"/>
      <selection/>
      <selection pane="topRight"/>
      <selection pane="bottomLeft"/>
      <selection pane="bottomRight" activeCell="J28" sqref="J28"/>
    </sheetView>
  </sheetViews>
  <sheetFormatPr defaultColWidth="9" defaultRowHeight="14.25"/>
  <cols>
    <col min="1" max="1" width="5.375" style="1" customWidth="1"/>
    <col min="2" max="2" width="12.625" style="1" customWidth="1"/>
    <col min="3" max="3" width="6.5" style="1" customWidth="1"/>
    <col min="4" max="4" width="15.75" style="1" customWidth="1"/>
    <col min="5" max="5" width="8.75" style="1" customWidth="1"/>
    <col min="6" max="6" width="12.25" style="1" hidden="1" customWidth="1"/>
    <col min="7" max="7" width="5.5" style="1" hidden="1" customWidth="1"/>
    <col min="8" max="8" width="15.375" style="1" customWidth="1"/>
    <col min="9" max="9" width="8.125" style="1" customWidth="1"/>
    <col min="10" max="10" width="15.625" style="1" customWidth="1"/>
    <col min="11" max="11" width="7.625" style="1" customWidth="1"/>
    <col min="12" max="12" width="12.125" style="1" customWidth="1"/>
    <col min="13" max="13" width="7.5" style="1" customWidth="1"/>
    <col min="14" max="14" width="15.75" style="1" customWidth="1"/>
    <col min="15" max="15" width="10.625" style="1" customWidth="1"/>
    <col min="16" max="16" width="11.625" style="1"/>
    <col min="17" max="17" width="16.125" style="1"/>
    <col min="18" max="18" width="9" style="1"/>
    <col min="19" max="19" width="11.625" style="1"/>
    <col min="20" max="16384" width="9" style="1"/>
  </cols>
  <sheetData>
    <row r="1" s="1" customFormat="1" ht="35.25" customHeight="1" spans="1:1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="2" customFormat="1" ht="23.25" customHeight="1" spans="1:15">
      <c r="A2" s="6">
        <v>1000</v>
      </c>
      <c r="B2" s="63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="2" customFormat="1" ht="51.75" customHeight="1" spans="1:15">
      <c r="A3" s="64" t="s">
        <v>2</v>
      </c>
      <c r="B3" s="65" t="s">
        <v>3</v>
      </c>
      <c r="C3" s="66"/>
      <c r="D3" s="65" t="s">
        <v>4</v>
      </c>
      <c r="E3" s="66"/>
      <c r="F3" s="65" t="s">
        <v>5</v>
      </c>
      <c r="G3" s="66"/>
      <c r="H3" s="65" t="s">
        <v>6</v>
      </c>
      <c r="I3" s="66"/>
      <c r="J3" s="65" t="s">
        <v>7</v>
      </c>
      <c r="K3" s="66"/>
      <c r="L3" s="65" t="s">
        <v>8</v>
      </c>
      <c r="M3" s="66"/>
      <c r="N3" s="81" t="s">
        <v>9</v>
      </c>
      <c r="O3" s="82"/>
    </row>
    <row r="4" s="2" customFormat="1" ht="29.25" customHeight="1" spans="1:15">
      <c r="A4" s="67"/>
      <c r="B4" s="67" t="s">
        <v>10</v>
      </c>
      <c r="C4" s="67" t="s">
        <v>11</v>
      </c>
      <c r="D4" s="68" t="s">
        <v>10</v>
      </c>
      <c r="E4" s="68" t="s">
        <v>11</v>
      </c>
      <c r="F4" s="68" t="s">
        <v>10</v>
      </c>
      <c r="G4" s="68" t="s">
        <v>11</v>
      </c>
      <c r="H4" s="68" t="s">
        <v>10</v>
      </c>
      <c r="I4" s="68" t="s">
        <v>11</v>
      </c>
      <c r="J4" s="68" t="s">
        <v>10</v>
      </c>
      <c r="K4" s="68" t="s">
        <v>11</v>
      </c>
      <c r="L4" s="68" t="s">
        <v>10</v>
      </c>
      <c r="M4" s="68" t="s">
        <v>11</v>
      </c>
      <c r="N4" s="68" t="s">
        <v>10</v>
      </c>
      <c r="O4" s="68" t="s">
        <v>11</v>
      </c>
    </row>
    <row r="5" s="3" customFormat="1" ht="27.75" customHeight="1" spans="1:15">
      <c r="A5" s="69" t="s">
        <v>12</v>
      </c>
      <c r="B5" s="94">
        <v>17.66</v>
      </c>
      <c r="C5" s="95">
        <v>4</v>
      </c>
      <c r="D5" s="94">
        <v>4.56</v>
      </c>
      <c r="E5" s="95">
        <v>1</v>
      </c>
      <c r="F5" s="94">
        <v>0</v>
      </c>
      <c r="G5" s="95">
        <v>0</v>
      </c>
      <c r="H5" s="94">
        <v>12.84</v>
      </c>
      <c r="I5" s="95">
        <v>3</v>
      </c>
      <c r="J5" s="94">
        <v>50.14</v>
      </c>
      <c r="K5" s="95">
        <v>7</v>
      </c>
      <c r="L5" s="94">
        <v>0</v>
      </c>
      <c r="M5" s="95">
        <v>0</v>
      </c>
      <c r="N5" s="96">
        <f t="shared" ref="N5:N35" si="0">B5+D5+H5+J5+L5</f>
        <v>85.2</v>
      </c>
      <c r="O5" s="98">
        <f t="shared" ref="O5:O35" si="1">+C5+E5+I5+K5</f>
        <v>15</v>
      </c>
    </row>
    <row r="6" s="3" customFormat="1" ht="27.75" customHeight="1" spans="1:15">
      <c r="A6" s="69" t="s">
        <v>13</v>
      </c>
      <c r="B6" s="94">
        <v>49.42</v>
      </c>
      <c r="C6" s="95">
        <v>9</v>
      </c>
      <c r="D6" s="94">
        <v>8.48</v>
      </c>
      <c r="E6" s="95">
        <v>2</v>
      </c>
      <c r="F6" s="94">
        <v>0</v>
      </c>
      <c r="G6" s="95">
        <v>0</v>
      </c>
      <c r="H6" s="94">
        <v>9.98</v>
      </c>
      <c r="I6" s="95">
        <v>2</v>
      </c>
      <c r="J6" s="94">
        <v>58.94</v>
      </c>
      <c r="K6" s="95">
        <v>8</v>
      </c>
      <c r="L6" s="94">
        <v>0</v>
      </c>
      <c r="M6" s="95">
        <v>0</v>
      </c>
      <c r="N6" s="96">
        <f t="shared" si="0"/>
        <v>126.82</v>
      </c>
      <c r="O6" s="98">
        <f t="shared" si="1"/>
        <v>21</v>
      </c>
    </row>
    <row r="7" s="3" customFormat="1" ht="27.75" customHeight="1" spans="1:15">
      <c r="A7" s="69" t="s">
        <v>14</v>
      </c>
      <c r="B7" s="94">
        <v>44.44</v>
      </c>
      <c r="C7" s="95">
        <v>9</v>
      </c>
      <c r="D7" s="94">
        <v>10.2</v>
      </c>
      <c r="E7" s="95">
        <v>2</v>
      </c>
      <c r="F7" s="94">
        <v>0</v>
      </c>
      <c r="G7" s="95">
        <v>0</v>
      </c>
      <c r="H7" s="94">
        <v>15</v>
      </c>
      <c r="I7" s="95">
        <v>3</v>
      </c>
      <c r="J7" s="94">
        <v>53.16</v>
      </c>
      <c r="K7" s="95">
        <v>8</v>
      </c>
      <c r="L7" s="94">
        <v>7.68</v>
      </c>
      <c r="M7" s="95">
        <v>1</v>
      </c>
      <c r="N7" s="96">
        <f t="shared" si="0"/>
        <v>130.48</v>
      </c>
      <c r="O7" s="98">
        <f t="shared" si="1"/>
        <v>22</v>
      </c>
    </row>
    <row r="8" s="3" customFormat="1" ht="27.75" customHeight="1" spans="1:15">
      <c r="A8" s="69" t="s">
        <v>15</v>
      </c>
      <c r="B8" s="94">
        <v>64.18</v>
      </c>
      <c r="C8" s="95">
        <v>12</v>
      </c>
      <c r="D8" s="94">
        <v>8.46</v>
      </c>
      <c r="E8" s="95">
        <v>2</v>
      </c>
      <c r="F8" s="94">
        <v>0</v>
      </c>
      <c r="G8" s="95">
        <v>0</v>
      </c>
      <c r="H8" s="94">
        <v>11.6</v>
      </c>
      <c r="I8" s="95">
        <v>2</v>
      </c>
      <c r="J8" s="94">
        <v>42</v>
      </c>
      <c r="K8" s="95">
        <v>6</v>
      </c>
      <c r="L8" s="94">
        <v>0</v>
      </c>
      <c r="M8" s="95">
        <v>0</v>
      </c>
      <c r="N8" s="96">
        <f t="shared" si="0"/>
        <v>126.24</v>
      </c>
      <c r="O8" s="98">
        <f t="shared" si="1"/>
        <v>22</v>
      </c>
    </row>
    <row r="9" s="3" customFormat="1" ht="27.75" customHeight="1" spans="1:15">
      <c r="A9" s="69" t="s">
        <v>16</v>
      </c>
      <c r="B9" s="94">
        <v>39.42</v>
      </c>
      <c r="C9" s="95">
        <v>8</v>
      </c>
      <c r="D9" s="94">
        <v>10.2</v>
      </c>
      <c r="E9" s="95">
        <v>2</v>
      </c>
      <c r="F9" s="94">
        <v>0</v>
      </c>
      <c r="G9" s="95">
        <v>0</v>
      </c>
      <c r="H9" s="94">
        <v>12.54</v>
      </c>
      <c r="I9" s="95">
        <v>2</v>
      </c>
      <c r="J9" s="94">
        <v>67.64</v>
      </c>
      <c r="K9" s="95">
        <v>10</v>
      </c>
      <c r="L9" s="94">
        <v>0</v>
      </c>
      <c r="M9" s="95">
        <v>0</v>
      </c>
      <c r="N9" s="96">
        <f t="shared" si="0"/>
        <v>129.8</v>
      </c>
      <c r="O9" s="98">
        <f t="shared" si="1"/>
        <v>22</v>
      </c>
    </row>
    <row r="10" s="3" customFormat="1" ht="27.75" customHeight="1" spans="1:15">
      <c r="A10" s="69" t="s">
        <v>17</v>
      </c>
      <c r="B10" s="94">
        <v>40.8</v>
      </c>
      <c r="C10" s="95">
        <v>7</v>
      </c>
      <c r="D10" s="94">
        <v>8.82</v>
      </c>
      <c r="E10" s="95">
        <v>2</v>
      </c>
      <c r="F10" s="94">
        <v>0</v>
      </c>
      <c r="G10" s="95">
        <v>0</v>
      </c>
      <c r="H10" s="94">
        <v>11.36</v>
      </c>
      <c r="I10" s="95">
        <v>2</v>
      </c>
      <c r="J10" s="94">
        <v>49.92</v>
      </c>
      <c r="K10" s="95">
        <v>7</v>
      </c>
      <c r="L10" s="94">
        <v>0</v>
      </c>
      <c r="M10" s="95">
        <v>0</v>
      </c>
      <c r="N10" s="96">
        <f t="shared" si="0"/>
        <v>110.9</v>
      </c>
      <c r="O10" s="98">
        <f t="shared" si="1"/>
        <v>18</v>
      </c>
    </row>
    <row r="11" s="3" customFormat="1" ht="27.75" customHeight="1" spans="1:15">
      <c r="A11" s="69" t="s">
        <v>18</v>
      </c>
      <c r="B11" s="94">
        <v>43.62</v>
      </c>
      <c r="C11" s="95">
        <v>8</v>
      </c>
      <c r="D11" s="94">
        <v>0</v>
      </c>
      <c r="E11" s="95">
        <v>0</v>
      </c>
      <c r="F11" s="94">
        <v>0</v>
      </c>
      <c r="G11" s="95">
        <v>0</v>
      </c>
      <c r="H11" s="94">
        <v>5.8</v>
      </c>
      <c r="I11" s="95">
        <v>2</v>
      </c>
      <c r="J11" s="94">
        <v>50.04</v>
      </c>
      <c r="K11" s="95">
        <v>8</v>
      </c>
      <c r="L11" s="94">
        <v>0</v>
      </c>
      <c r="M11" s="95">
        <v>0</v>
      </c>
      <c r="N11" s="96">
        <f t="shared" si="0"/>
        <v>99.46</v>
      </c>
      <c r="O11" s="98">
        <f t="shared" si="1"/>
        <v>18</v>
      </c>
    </row>
    <row r="12" s="3" customFormat="1" ht="27.75" customHeight="1" spans="1:15">
      <c r="A12" s="69" t="s">
        <v>19</v>
      </c>
      <c r="B12" s="94">
        <v>31</v>
      </c>
      <c r="C12" s="95">
        <v>7</v>
      </c>
      <c r="D12" s="94">
        <v>9</v>
      </c>
      <c r="E12" s="95">
        <v>2</v>
      </c>
      <c r="F12" s="94">
        <v>0</v>
      </c>
      <c r="G12" s="95">
        <v>0</v>
      </c>
      <c r="H12" s="94">
        <v>16.46</v>
      </c>
      <c r="I12" s="95">
        <v>4</v>
      </c>
      <c r="J12" s="94">
        <v>53.84</v>
      </c>
      <c r="K12" s="95">
        <v>8</v>
      </c>
      <c r="L12" s="94">
        <v>0</v>
      </c>
      <c r="M12" s="95">
        <v>0</v>
      </c>
      <c r="N12" s="96">
        <f t="shared" si="0"/>
        <v>110.3</v>
      </c>
      <c r="O12" s="98">
        <f t="shared" si="1"/>
        <v>21</v>
      </c>
    </row>
    <row r="13" s="3" customFormat="1" ht="27.75" customHeight="1" spans="1:15">
      <c r="A13" s="69" t="s">
        <v>20</v>
      </c>
      <c r="B13" s="94">
        <v>45.68</v>
      </c>
      <c r="C13" s="95">
        <v>9</v>
      </c>
      <c r="D13" s="94">
        <v>11.1</v>
      </c>
      <c r="E13" s="95">
        <v>2</v>
      </c>
      <c r="F13" s="94">
        <v>0</v>
      </c>
      <c r="G13" s="95">
        <v>0</v>
      </c>
      <c r="H13" s="94">
        <v>17.82</v>
      </c>
      <c r="I13" s="95">
        <v>4</v>
      </c>
      <c r="J13" s="94">
        <v>51.34</v>
      </c>
      <c r="K13" s="95">
        <v>8</v>
      </c>
      <c r="L13" s="94">
        <v>0</v>
      </c>
      <c r="M13" s="95">
        <v>0</v>
      </c>
      <c r="N13" s="96">
        <f t="shared" si="0"/>
        <v>125.94</v>
      </c>
      <c r="O13" s="98">
        <f t="shared" si="1"/>
        <v>23</v>
      </c>
    </row>
    <row r="14" s="3" customFormat="1" ht="27.75" customHeight="1" spans="1:15">
      <c r="A14" s="69" t="s">
        <v>21</v>
      </c>
      <c r="B14" s="94">
        <v>55.6</v>
      </c>
      <c r="C14" s="95">
        <v>10</v>
      </c>
      <c r="D14" s="94">
        <v>8.44</v>
      </c>
      <c r="E14" s="95">
        <v>2</v>
      </c>
      <c r="F14" s="94">
        <v>0</v>
      </c>
      <c r="G14" s="95">
        <v>0</v>
      </c>
      <c r="H14" s="94">
        <v>18.38</v>
      </c>
      <c r="I14" s="95">
        <v>4</v>
      </c>
      <c r="J14" s="94">
        <v>58.14</v>
      </c>
      <c r="K14" s="95">
        <v>9</v>
      </c>
      <c r="L14" s="94">
        <v>0</v>
      </c>
      <c r="M14" s="95">
        <v>0</v>
      </c>
      <c r="N14" s="96">
        <f t="shared" si="0"/>
        <v>140.56</v>
      </c>
      <c r="O14" s="98">
        <f t="shared" si="1"/>
        <v>25</v>
      </c>
    </row>
    <row r="15" s="3" customFormat="1" ht="27.75" customHeight="1" spans="1:15">
      <c r="A15" s="69" t="s">
        <v>22</v>
      </c>
      <c r="B15" s="94">
        <v>46.72</v>
      </c>
      <c r="C15" s="95">
        <v>9</v>
      </c>
      <c r="D15" s="94">
        <v>9.28</v>
      </c>
      <c r="E15" s="95">
        <v>2</v>
      </c>
      <c r="F15" s="94">
        <v>0</v>
      </c>
      <c r="G15" s="95">
        <v>0</v>
      </c>
      <c r="H15" s="94">
        <v>16.28</v>
      </c>
      <c r="I15" s="95">
        <v>4</v>
      </c>
      <c r="J15" s="94">
        <v>48.62</v>
      </c>
      <c r="K15" s="95">
        <v>7</v>
      </c>
      <c r="L15" s="94">
        <v>0</v>
      </c>
      <c r="M15" s="95">
        <v>0</v>
      </c>
      <c r="N15" s="96">
        <f t="shared" si="0"/>
        <v>120.9</v>
      </c>
      <c r="O15" s="98">
        <f t="shared" si="1"/>
        <v>22</v>
      </c>
    </row>
    <row r="16" s="3" customFormat="1" ht="27.75" customHeight="1" spans="1:15">
      <c r="A16" s="69" t="s">
        <v>23</v>
      </c>
      <c r="B16" s="94">
        <v>40.86</v>
      </c>
      <c r="C16" s="95">
        <v>8</v>
      </c>
      <c r="D16" s="94">
        <v>8.62</v>
      </c>
      <c r="E16" s="95">
        <v>2</v>
      </c>
      <c r="F16" s="94">
        <v>0</v>
      </c>
      <c r="G16" s="95">
        <v>0</v>
      </c>
      <c r="H16" s="94">
        <v>18.22</v>
      </c>
      <c r="I16" s="95">
        <v>4</v>
      </c>
      <c r="J16" s="94">
        <v>55.52</v>
      </c>
      <c r="K16" s="95">
        <v>8</v>
      </c>
      <c r="L16" s="94">
        <v>0</v>
      </c>
      <c r="M16" s="95">
        <v>0</v>
      </c>
      <c r="N16" s="96">
        <f t="shared" si="0"/>
        <v>123.22</v>
      </c>
      <c r="O16" s="98">
        <f t="shared" si="1"/>
        <v>22</v>
      </c>
    </row>
    <row r="17" s="3" customFormat="1" ht="27.75" customHeight="1" spans="1:15">
      <c r="A17" s="69" t="s">
        <v>24</v>
      </c>
      <c r="B17" s="94">
        <v>48.96</v>
      </c>
      <c r="C17" s="95">
        <v>8</v>
      </c>
      <c r="D17" s="94">
        <v>6.16</v>
      </c>
      <c r="E17" s="95">
        <v>1</v>
      </c>
      <c r="F17" s="94">
        <v>0</v>
      </c>
      <c r="G17" s="95">
        <v>0</v>
      </c>
      <c r="H17" s="94">
        <v>17.68</v>
      </c>
      <c r="I17" s="95">
        <v>4</v>
      </c>
      <c r="J17" s="94">
        <v>61.82</v>
      </c>
      <c r="K17" s="95">
        <v>8</v>
      </c>
      <c r="L17" s="94">
        <v>0</v>
      </c>
      <c r="M17" s="95">
        <v>0</v>
      </c>
      <c r="N17" s="96">
        <f t="shared" si="0"/>
        <v>134.62</v>
      </c>
      <c r="O17" s="98">
        <f t="shared" si="1"/>
        <v>21</v>
      </c>
    </row>
    <row r="18" s="3" customFormat="1" ht="27.75" customHeight="1" spans="1:15">
      <c r="A18" s="69" t="s">
        <v>25</v>
      </c>
      <c r="B18" s="94">
        <v>46.86</v>
      </c>
      <c r="C18" s="95">
        <v>9</v>
      </c>
      <c r="D18" s="94">
        <v>6.2</v>
      </c>
      <c r="E18" s="95">
        <v>1</v>
      </c>
      <c r="F18" s="94">
        <v>0</v>
      </c>
      <c r="G18" s="95">
        <v>0</v>
      </c>
      <c r="H18" s="94">
        <v>7.84</v>
      </c>
      <c r="I18" s="95">
        <v>2</v>
      </c>
      <c r="J18" s="94">
        <v>51.28</v>
      </c>
      <c r="K18" s="95">
        <v>8</v>
      </c>
      <c r="L18" s="94">
        <v>0</v>
      </c>
      <c r="M18" s="95">
        <v>0</v>
      </c>
      <c r="N18" s="96">
        <f t="shared" si="0"/>
        <v>112.18</v>
      </c>
      <c r="O18" s="98">
        <f t="shared" si="1"/>
        <v>20</v>
      </c>
    </row>
    <row r="19" s="3" customFormat="1" ht="27.75" customHeight="1" spans="1:15">
      <c r="A19" s="69" t="s">
        <v>26</v>
      </c>
      <c r="B19" s="94">
        <v>33.02</v>
      </c>
      <c r="C19" s="95">
        <v>6</v>
      </c>
      <c r="D19" s="94">
        <v>10.74</v>
      </c>
      <c r="E19" s="95">
        <v>2</v>
      </c>
      <c r="F19" s="94">
        <v>0</v>
      </c>
      <c r="G19" s="95">
        <v>0</v>
      </c>
      <c r="H19" s="94">
        <v>13.7</v>
      </c>
      <c r="I19" s="95">
        <v>3</v>
      </c>
      <c r="J19" s="94">
        <v>46.42</v>
      </c>
      <c r="K19" s="95">
        <v>7</v>
      </c>
      <c r="L19" s="94">
        <v>0</v>
      </c>
      <c r="M19" s="95">
        <v>0</v>
      </c>
      <c r="N19" s="96">
        <f t="shared" si="0"/>
        <v>103.88</v>
      </c>
      <c r="O19" s="98">
        <f t="shared" si="1"/>
        <v>18</v>
      </c>
    </row>
    <row r="20" s="3" customFormat="1" ht="27.75" customHeight="1" spans="1:15">
      <c r="A20" s="69" t="s">
        <v>27</v>
      </c>
      <c r="B20" s="94">
        <v>54.92</v>
      </c>
      <c r="C20" s="95">
        <v>11</v>
      </c>
      <c r="D20" s="94">
        <v>11.28</v>
      </c>
      <c r="E20" s="95">
        <v>2</v>
      </c>
      <c r="F20" s="94">
        <v>0</v>
      </c>
      <c r="G20" s="95">
        <v>0</v>
      </c>
      <c r="H20" s="94">
        <v>11.18</v>
      </c>
      <c r="I20" s="95">
        <v>2</v>
      </c>
      <c r="J20" s="94">
        <v>53.54</v>
      </c>
      <c r="K20" s="95">
        <v>8</v>
      </c>
      <c r="L20" s="94">
        <v>0</v>
      </c>
      <c r="M20" s="95">
        <v>0</v>
      </c>
      <c r="N20" s="96">
        <f t="shared" si="0"/>
        <v>130.92</v>
      </c>
      <c r="O20" s="98">
        <f t="shared" si="1"/>
        <v>23</v>
      </c>
    </row>
    <row r="21" s="3" customFormat="1" ht="27.75" customHeight="1" spans="1:15">
      <c r="A21" s="69" t="s">
        <v>28</v>
      </c>
      <c r="B21" s="94">
        <v>34.02</v>
      </c>
      <c r="C21" s="95">
        <v>7</v>
      </c>
      <c r="D21" s="94">
        <v>8.68</v>
      </c>
      <c r="E21" s="95">
        <v>2</v>
      </c>
      <c r="F21" s="94">
        <v>0</v>
      </c>
      <c r="G21" s="95">
        <v>0</v>
      </c>
      <c r="H21" s="94">
        <v>8.24</v>
      </c>
      <c r="I21" s="95">
        <v>2</v>
      </c>
      <c r="J21" s="94">
        <v>45.64</v>
      </c>
      <c r="K21" s="95">
        <v>6</v>
      </c>
      <c r="L21" s="94">
        <v>0</v>
      </c>
      <c r="M21" s="95">
        <v>0</v>
      </c>
      <c r="N21" s="96">
        <f t="shared" si="0"/>
        <v>96.58</v>
      </c>
      <c r="O21" s="98">
        <f t="shared" si="1"/>
        <v>17</v>
      </c>
    </row>
    <row r="22" s="3" customFormat="1" ht="27.75" customHeight="1" spans="1:15">
      <c r="A22" s="69" t="s">
        <v>29</v>
      </c>
      <c r="B22" s="94">
        <v>38.64</v>
      </c>
      <c r="C22" s="95">
        <v>9</v>
      </c>
      <c r="D22" s="94">
        <v>10.74</v>
      </c>
      <c r="E22" s="95">
        <v>2</v>
      </c>
      <c r="F22" s="94">
        <v>0</v>
      </c>
      <c r="G22" s="95">
        <v>0</v>
      </c>
      <c r="H22" s="94">
        <v>6.52</v>
      </c>
      <c r="I22" s="95">
        <v>1</v>
      </c>
      <c r="J22" s="94">
        <v>57.02</v>
      </c>
      <c r="K22" s="95">
        <v>9</v>
      </c>
      <c r="L22" s="94">
        <v>0</v>
      </c>
      <c r="M22" s="95">
        <v>0</v>
      </c>
      <c r="N22" s="96">
        <f t="shared" si="0"/>
        <v>112.92</v>
      </c>
      <c r="O22" s="98">
        <f t="shared" si="1"/>
        <v>21</v>
      </c>
    </row>
    <row r="23" s="3" customFormat="1" ht="27.75" customHeight="1" spans="1:15">
      <c r="A23" s="69" t="s">
        <v>30</v>
      </c>
      <c r="B23" s="94">
        <v>47</v>
      </c>
      <c r="C23" s="95">
        <v>10</v>
      </c>
      <c r="D23" s="94">
        <v>9.06</v>
      </c>
      <c r="E23" s="95">
        <v>2</v>
      </c>
      <c r="F23" s="94">
        <v>0</v>
      </c>
      <c r="G23" s="95">
        <v>0</v>
      </c>
      <c r="H23" s="94">
        <v>9.9</v>
      </c>
      <c r="I23" s="95">
        <v>2</v>
      </c>
      <c r="J23" s="94">
        <v>44.94</v>
      </c>
      <c r="K23" s="95">
        <v>6</v>
      </c>
      <c r="L23" s="94">
        <v>0</v>
      </c>
      <c r="M23" s="95">
        <v>0</v>
      </c>
      <c r="N23" s="96">
        <f t="shared" si="0"/>
        <v>110.9</v>
      </c>
      <c r="O23" s="98">
        <f t="shared" si="1"/>
        <v>20</v>
      </c>
    </row>
    <row r="24" s="3" customFormat="1" ht="27.75" customHeight="1" spans="1:15">
      <c r="A24" s="69" t="s">
        <v>31</v>
      </c>
      <c r="B24" s="94">
        <v>32.66</v>
      </c>
      <c r="C24" s="95">
        <v>7</v>
      </c>
      <c r="D24" s="94">
        <v>6.18</v>
      </c>
      <c r="E24" s="95">
        <v>1</v>
      </c>
      <c r="F24" s="94">
        <v>0</v>
      </c>
      <c r="G24" s="95">
        <v>0</v>
      </c>
      <c r="H24" s="94">
        <v>9.6</v>
      </c>
      <c r="I24" s="95">
        <v>2</v>
      </c>
      <c r="J24" s="94">
        <v>49.38</v>
      </c>
      <c r="K24" s="95">
        <v>8</v>
      </c>
      <c r="L24" s="94">
        <v>0</v>
      </c>
      <c r="M24" s="95">
        <v>0</v>
      </c>
      <c r="N24" s="96">
        <f t="shared" si="0"/>
        <v>97.82</v>
      </c>
      <c r="O24" s="98">
        <f t="shared" si="1"/>
        <v>18</v>
      </c>
    </row>
    <row r="25" s="3" customFormat="1" ht="27.75" customHeight="1" spans="1:15">
      <c r="A25" s="69" t="s">
        <v>32</v>
      </c>
      <c r="B25" s="94">
        <v>30.54</v>
      </c>
      <c r="C25" s="95">
        <v>8</v>
      </c>
      <c r="D25" s="94">
        <v>9.48</v>
      </c>
      <c r="E25" s="95">
        <v>2</v>
      </c>
      <c r="F25" s="94">
        <v>0</v>
      </c>
      <c r="G25" s="95">
        <v>0</v>
      </c>
      <c r="H25" s="94">
        <v>4.22</v>
      </c>
      <c r="I25" s="95">
        <v>1</v>
      </c>
      <c r="J25" s="94">
        <v>57.32</v>
      </c>
      <c r="K25" s="95">
        <v>9</v>
      </c>
      <c r="L25" s="94">
        <v>0</v>
      </c>
      <c r="M25" s="95">
        <v>0</v>
      </c>
      <c r="N25" s="96">
        <f t="shared" si="0"/>
        <v>101.56</v>
      </c>
      <c r="O25" s="98">
        <f t="shared" si="1"/>
        <v>20</v>
      </c>
    </row>
    <row r="26" s="3" customFormat="1" ht="27.75" customHeight="1" spans="1:15">
      <c r="A26" s="69" t="s">
        <v>33</v>
      </c>
      <c r="B26" s="94">
        <v>29.18</v>
      </c>
      <c r="C26" s="95">
        <v>7</v>
      </c>
      <c r="D26" s="94">
        <v>6.38</v>
      </c>
      <c r="E26" s="95">
        <v>1</v>
      </c>
      <c r="F26" s="94">
        <v>0</v>
      </c>
      <c r="G26" s="95">
        <v>0</v>
      </c>
      <c r="H26" s="94">
        <v>10.12</v>
      </c>
      <c r="I26" s="95">
        <v>2</v>
      </c>
      <c r="J26" s="94">
        <v>34.74</v>
      </c>
      <c r="K26" s="95">
        <v>7</v>
      </c>
      <c r="L26" s="94">
        <v>0</v>
      </c>
      <c r="M26" s="95">
        <v>0</v>
      </c>
      <c r="N26" s="96">
        <f t="shared" si="0"/>
        <v>80.42</v>
      </c>
      <c r="O26" s="98">
        <f t="shared" si="1"/>
        <v>17</v>
      </c>
    </row>
    <row r="27" s="3" customFormat="1" ht="27.75" customHeight="1" spans="1:15">
      <c r="A27" s="69" t="s">
        <v>34</v>
      </c>
      <c r="B27" s="94">
        <v>22.88</v>
      </c>
      <c r="C27" s="95">
        <v>5</v>
      </c>
      <c r="D27" s="94">
        <v>10.32</v>
      </c>
      <c r="E27" s="95">
        <v>2</v>
      </c>
      <c r="F27" s="94">
        <v>0</v>
      </c>
      <c r="G27" s="95">
        <v>0</v>
      </c>
      <c r="H27" s="94">
        <v>4.8</v>
      </c>
      <c r="I27" s="95">
        <v>1</v>
      </c>
      <c r="J27" s="94">
        <v>33.38</v>
      </c>
      <c r="K27" s="95">
        <v>5</v>
      </c>
      <c r="L27" s="94">
        <v>0</v>
      </c>
      <c r="M27" s="95">
        <v>0</v>
      </c>
      <c r="N27" s="96">
        <f t="shared" si="0"/>
        <v>71.38</v>
      </c>
      <c r="O27" s="98">
        <f t="shared" si="1"/>
        <v>13</v>
      </c>
    </row>
    <row r="28" s="3" customFormat="1" ht="27.75" customHeight="1" spans="1:15">
      <c r="A28" s="69" t="s">
        <v>35</v>
      </c>
      <c r="B28" s="94">
        <v>37.32</v>
      </c>
      <c r="C28" s="95">
        <v>10</v>
      </c>
      <c r="D28" s="94">
        <v>9.36</v>
      </c>
      <c r="E28" s="95">
        <v>2</v>
      </c>
      <c r="F28" s="94">
        <v>0</v>
      </c>
      <c r="G28" s="95">
        <v>0</v>
      </c>
      <c r="H28" s="94">
        <v>12.98</v>
      </c>
      <c r="I28" s="95">
        <v>3</v>
      </c>
      <c r="J28" s="94">
        <v>39.96</v>
      </c>
      <c r="K28" s="95">
        <v>7</v>
      </c>
      <c r="L28" s="94">
        <v>0</v>
      </c>
      <c r="M28" s="95">
        <v>0</v>
      </c>
      <c r="N28" s="96">
        <f t="shared" si="0"/>
        <v>99.62</v>
      </c>
      <c r="O28" s="98">
        <f t="shared" si="1"/>
        <v>22</v>
      </c>
    </row>
    <row r="29" s="3" customFormat="1" ht="27.75" customHeight="1" spans="1:15">
      <c r="A29" s="69" t="s">
        <v>36</v>
      </c>
      <c r="B29" s="94">
        <v>35.18</v>
      </c>
      <c r="C29" s="95">
        <v>8</v>
      </c>
      <c r="D29" s="94">
        <v>11.38</v>
      </c>
      <c r="E29" s="95">
        <v>2</v>
      </c>
      <c r="F29" s="94">
        <v>0</v>
      </c>
      <c r="G29" s="95">
        <v>0</v>
      </c>
      <c r="H29" s="94">
        <v>17.02</v>
      </c>
      <c r="I29" s="95">
        <v>4</v>
      </c>
      <c r="J29" s="94">
        <v>52.42</v>
      </c>
      <c r="K29" s="95">
        <v>8</v>
      </c>
      <c r="L29" s="94">
        <v>0</v>
      </c>
      <c r="M29" s="95">
        <v>0</v>
      </c>
      <c r="N29" s="96">
        <f t="shared" si="0"/>
        <v>116</v>
      </c>
      <c r="O29" s="98">
        <f t="shared" si="1"/>
        <v>22</v>
      </c>
    </row>
    <row r="30" s="3" customFormat="1" ht="27.75" customHeight="1" spans="1:15">
      <c r="A30" s="69" t="s">
        <v>37</v>
      </c>
      <c r="B30" s="94">
        <v>32.86</v>
      </c>
      <c r="C30" s="95">
        <v>9</v>
      </c>
      <c r="D30" s="94">
        <v>12.5</v>
      </c>
      <c r="E30" s="95">
        <v>3</v>
      </c>
      <c r="F30" s="94">
        <v>0</v>
      </c>
      <c r="G30" s="95">
        <v>0</v>
      </c>
      <c r="H30" s="94">
        <v>12.66</v>
      </c>
      <c r="I30" s="95">
        <v>3</v>
      </c>
      <c r="J30" s="94">
        <v>36.24</v>
      </c>
      <c r="K30" s="95">
        <v>5</v>
      </c>
      <c r="L30" s="94">
        <v>0</v>
      </c>
      <c r="M30" s="95">
        <v>0</v>
      </c>
      <c r="N30" s="96">
        <f t="shared" si="0"/>
        <v>94.26</v>
      </c>
      <c r="O30" s="98">
        <f t="shared" si="1"/>
        <v>20</v>
      </c>
    </row>
    <row r="31" s="3" customFormat="1" ht="27.75" customHeight="1" spans="1:15">
      <c r="A31" s="69" t="s">
        <v>38</v>
      </c>
      <c r="B31" s="94">
        <v>42.66</v>
      </c>
      <c r="C31" s="95">
        <v>9</v>
      </c>
      <c r="D31" s="94">
        <v>0</v>
      </c>
      <c r="E31" s="95">
        <v>0</v>
      </c>
      <c r="F31" s="94">
        <v>0</v>
      </c>
      <c r="G31" s="95">
        <v>0</v>
      </c>
      <c r="H31" s="94">
        <v>13.92</v>
      </c>
      <c r="I31" s="95">
        <v>4</v>
      </c>
      <c r="J31" s="94">
        <v>45.36</v>
      </c>
      <c r="K31" s="95">
        <v>6</v>
      </c>
      <c r="L31" s="94">
        <v>0</v>
      </c>
      <c r="M31" s="95">
        <v>0</v>
      </c>
      <c r="N31" s="96">
        <f t="shared" si="0"/>
        <v>101.94</v>
      </c>
      <c r="O31" s="98">
        <f t="shared" si="1"/>
        <v>19</v>
      </c>
    </row>
    <row r="32" s="3" customFormat="1" ht="27.75" customHeight="1" spans="1:15">
      <c r="A32" s="69" t="s">
        <v>39</v>
      </c>
      <c r="B32" s="94">
        <v>39.74</v>
      </c>
      <c r="C32" s="95">
        <v>8</v>
      </c>
      <c r="D32" s="94">
        <v>10.62</v>
      </c>
      <c r="E32" s="95">
        <v>2</v>
      </c>
      <c r="F32" s="94">
        <v>0</v>
      </c>
      <c r="G32" s="95">
        <v>0</v>
      </c>
      <c r="H32" s="94">
        <v>7.08</v>
      </c>
      <c r="I32" s="95">
        <v>2</v>
      </c>
      <c r="J32" s="94">
        <v>40</v>
      </c>
      <c r="K32" s="95">
        <v>6</v>
      </c>
      <c r="L32" s="94">
        <v>9.94</v>
      </c>
      <c r="M32" s="95">
        <v>1</v>
      </c>
      <c r="N32" s="96">
        <f t="shared" si="0"/>
        <v>107.38</v>
      </c>
      <c r="O32" s="98">
        <f t="shared" si="1"/>
        <v>18</v>
      </c>
    </row>
    <row r="33" s="3" customFormat="1" ht="27.75" customHeight="1" spans="1:15">
      <c r="A33" s="69" t="s">
        <v>40</v>
      </c>
      <c r="B33" s="94">
        <v>38.08</v>
      </c>
      <c r="C33" s="95">
        <v>8</v>
      </c>
      <c r="D33" s="94">
        <v>5.88</v>
      </c>
      <c r="E33" s="95">
        <v>1</v>
      </c>
      <c r="F33" s="94">
        <v>0</v>
      </c>
      <c r="G33" s="95">
        <v>0</v>
      </c>
      <c r="H33" s="94">
        <v>3.54</v>
      </c>
      <c r="I33" s="95">
        <v>1</v>
      </c>
      <c r="J33" s="94">
        <v>34.08</v>
      </c>
      <c r="K33" s="95">
        <v>5</v>
      </c>
      <c r="L33" s="94">
        <v>7.78</v>
      </c>
      <c r="M33" s="95">
        <v>1</v>
      </c>
      <c r="N33" s="96">
        <f t="shared" si="0"/>
        <v>89.36</v>
      </c>
      <c r="O33" s="98">
        <f t="shared" si="1"/>
        <v>15</v>
      </c>
    </row>
    <row r="34" s="3" customFormat="1" ht="27.75" customHeight="1" spans="1:15">
      <c r="A34" s="69" t="s">
        <v>41</v>
      </c>
      <c r="B34" s="94">
        <v>30.02</v>
      </c>
      <c r="C34" s="95">
        <v>7</v>
      </c>
      <c r="D34" s="94">
        <v>11.08</v>
      </c>
      <c r="E34" s="95">
        <v>2</v>
      </c>
      <c r="F34" s="94">
        <v>0</v>
      </c>
      <c r="G34" s="95">
        <v>0</v>
      </c>
      <c r="H34" s="94">
        <v>11.3</v>
      </c>
      <c r="I34" s="95">
        <v>3</v>
      </c>
      <c r="J34" s="94">
        <v>45.08</v>
      </c>
      <c r="K34" s="95">
        <v>7</v>
      </c>
      <c r="L34" s="94">
        <v>0</v>
      </c>
      <c r="M34" s="95">
        <v>0</v>
      </c>
      <c r="N34" s="96">
        <f t="shared" si="0"/>
        <v>97.48</v>
      </c>
      <c r="O34" s="98">
        <f t="shared" si="1"/>
        <v>19</v>
      </c>
    </row>
    <row r="35" s="3" customFormat="1" ht="25.5" customHeight="1" spans="1:15">
      <c r="A35" s="69" t="s">
        <v>42</v>
      </c>
      <c r="B35" s="94">
        <v>38.98</v>
      </c>
      <c r="C35" s="95">
        <v>9</v>
      </c>
      <c r="D35" s="94">
        <v>15.2</v>
      </c>
      <c r="E35" s="95">
        <v>3</v>
      </c>
      <c r="F35" s="94">
        <v>0</v>
      </c>
      <c r="G35" s="95">
        <v>0</v>
      </c>
      <c r="H35" s="94">
        <v>16.7</v>
      </c>
      <c r="I35" s="95">
        <v>4</v>
      </c>
      <c r="J35" s="94">
        <v>46.48</v>
      </c>
      <c r="K35" s="95">
        <v>6</v>
      </c>
      <c r="L35" s="94">
        <v>0</v>
      </c>
      <c r="M35" s="95">
        <v>0</v>
      </c>
      <c r="N35" s="96">
        <f t="shared" si="0"/>
        <v>117.36</v>
      </c>
      <c r="O35" s="98">
        <f t="shared" si="1"/>
        <v>22</v>
      </c>
    </row>
    <row r="36" s="3" customFormat="1" ht="56.25" customHeight="1" spans="1:19">
      <c r="A36" s="70" t="s">
        <v>9</v>
      </c>
      <c r="B36" s="97">
        <v>1232.92</v>
      </c>
      <c r="C36" s="95">
        <v>255</v>
      </c>
      <c r="D36" s="97">
        <f t="shared" ref="D36:O36" si="2">SUM(D5:D35)</f>
        <v>268.4</v>
      </c>
      <c r="E36" s="95">
        <f t="shared" si="2"/>
        <v>54</v>
      </c>
      <c r="F36" s="97">
        <f t="shared" si="2"/>
        <v>0</v>
      </c>
      <c r="G36" s="97">
        <f t="shared" si="2"/>
        <v>0</v>
      </c>
      <c r="H36" s="97">
        <f t="shared" si="2"/>
        <v>365.28</v>
      </c>
      <c r="I36" s="95">
        <f t="shared" si="2"/>
        <v>82</v>
      </c>
      <c r="J36" s="97">
        <f t="shared" si="2"/>
        <v>1514.4</v>
      </c>
      <c r="K36" s="95">
        <f t="shared" si="2"/>
        <v>225</v>
      </c>
      <c r="L36" s="97">
        <f t="shared" si="2"/>
        <v>25.4</v>
      </c>
      <c r="M36" s="95">
        <f t="shared" si="2"/>
        <v>3</v>
      </c>
      <c r="N36" s="97">
        <f t="shared" si="2"/>
        <v>3406.4</v>
      </c>
      <c r="O36" s="95">
        <f t="shared" si="2"/>
        <v>616</v>
      </c>
      <c r="Q36" s="31"/>
      <c r="S36" s="31"/>
    </row>
    <row r="37" s="99" customFormat="1" ht="9.75" customHeight="1" spans="1:15">
      <c r="A37" s="100"/>
      <c r="B37" s="101"/>
      <c r="C37" s="102"/>
      <c r="D37" s="102"/>
      <c r="E37" s="102"/>
      <c r="F37" s="102"/>
      <c r="G37" s="102"/>
      <c r="H37" s="101"/>
      <c r="I37" s="101"/>
      <c r="J37" s="101"/>
      <c r="K37" s="101"/>
      <c r="L37" s="101"/>
      <c r="M37" s="101"/>
      <c r="N37" s="103"/>
      <c r="O37" s="103"/>
    </row>
    <row r="38" s="4" customFormat="1" ht="33.75" customHeight="1" spans="1:17">
      <c r="A38" s="76" t="s">
        <v>43</v>
      </c>
      <c r="B38" s="78"/>
      <c r="C38" s="78"/>
      <c r="D38" s="78"/>
      <c r="E38" s="78"/>
      <c r="F38" s="78"/>
      <c r="G38" s="78"/>
      <c r="H38" s="4"/>
      <c r="K38" s="80"/>
      <c r="L38" s="80"/>
      <c r="M38" s="80"/>
      <c r="O38" s="85"/>
      <c r="Q38" s="61"/>
    </row>
    <row r="39" s="1" customFormat="1" spans="1:7">
      <c r="A39" s="26"/>
      <c r="B39" s="26"/>
      <c r="C39" s="26"/>
      <c r="D39" s="26"/>
      <c r="E39" s="26"/>
      <c r="F39" s="26"/>
      <c r="G39" s="26"/>
    </row>
    <row r="40" spans="1:17">
      <c r="A40" s="25"/>
      <c r="B40" s="25"/>
      <c r="C40" s="25"/>
      <c r="D40" s="25"/>
      <c r="E40" s="25"/>
      <c r="F40" s="25"/>
      <c r="G40" s="25"/>
      <c r="H40" s="1"/>
      <c r="N40" s="37"/>
      <c r="Q40" s="37"/>
    </row>
    <row r="41" spans="2:3">
      <c r="B41" s="26"/>
      <c r="C41" s="26"/>
    </row>
    <row r="42" spans="2:3">
      <c r="B42" s="26"/>
      <c r="C42" s="26"/>
    </row>
    <row r="43" spans="2:3">
      <c r="B43" s="26"/>
      <c r="C43" s="26"/>
    </row>
    <row r="44" spans="2:3">
      <c r="B44" s="26"/>
      <c r="C44" s="26"/>
    </row>
    <row r="45" spans="2:3">
      <c r="B45" s="26"/>
      <c r="C45" s="26"/>
    </row>
  </sheetData>
  <mergeCells count="11">
    <mergeCell ref="A1:O1"/>
    <mergeCell ref="B2:O2"/>
    <mergeCell ref="B3:C3"/>
    <mergeCell ref="D3:E3"/>
    <mergeCell ref="F3:G3"/>
    <mergeCell ref="H3:I3"/>
    <mergeCell ref="J3:K3"/>
    <mergeCell ref="L3:M3"/>
    <mergeCell ref="N3:O3"/>
    <mergeCell ref="A40:B40"/>
    <mergeCell ref="A3:A4"/>
  </mergeCells>
  <pageMargins left="0.47" right="0.22" top="0.26" bottom="0.23" header="0.37" footer="0.2"/>
  <pageSetup paperSize="9" scale="63" orientation="portrait" horizontalDpi="600" vertic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M46"/>
  <sheetViews>
    <sheetView zoomScaleSheetLayoutView="60" workbookViewId="0">
      <pane xSplit="1" ySplit="4" topLeftCell="B22" activePane="bottomRight" state="frozen"/>
      <selection/>
      <selection pane="topRight"/>
      <selection pane="bottomLeft"/>
      <selection pane="bottomRight" activeCell="I36" sqref="I36"/>
    </sheetView>
  </sheetViews>
  <sheetFormatPr defaultColWidth="9" defaultRowHeight="14.25"/>
  <cols>
    <col min="1" max="1" width="5.375" style="1" customWidth="1"/>
    <col min="2" max="2" width="18" style="1" customWidth="1"/>
    <col min="3" max="3" width="9" style="1"/>
    <col min="4" max="4" width="14.875" style="1" customWidth="1"/>
    <col min="5" max="5" width="10.25" style="1" customWidth="1"/>
    <col min="6" max="6" width="15.75" style="1" customWidth="1"/>
    <col min="7" max="7" width="9.875" style="1" customWidth="1"/>
    <col min="8" max="8" width="16.125" style="1" customWidth="1"/>
    <col min="9" max="9" width="10.625" style="1" customWidth="1"/>
    <col min="10" max="10" width="9" style="1"/>
    <col min="11" max="11" width="16.125" style="1"/>
    <col min="12" max="12" width="9" style="1"/>
    <col min="13" max="13" width="11.625" style="1"/>
    <col min="14" max="16384" width="9" style="1"/>
  </cols>
  <sheetData>
    <row r="1" s="1" customFormat="1" ht="35.25" customHeight="1" spans="1:9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="2" customFormat="1" ht="23.25" customHeight="1" spans="1:9">
      <c r="A2" s="6">
        <v>1000</v>
      </c>
      <c r="B2" s="63" t="s">
        <v>44</v>
      </c>
      <c r="C2" s="63"/>
      <c r="D2" s="63"/>
      <c r="E2" s="63"/>
      <c r="F2" s="63"/>
      <c r="G2" s="63"/>
      <c r="H2" s="63"/>
      <c r="I2" s="63"/>
    </row>
    <row r="3" s="2" customFormat="1" ht="51.75" customHeight="1" spans="1:9">
      <c r="A3" s="64" t="s">
        <v>2</v>
      </c>
      <c r="B3" s="65" t="s">
        <v>45</v>
      </c>
      <c r="C3" s="66"/>
      <c r="D3" s="65" t="s">
        <v>46</v>
      </c>
      <c r="E3" s="66"/>
      <c r="F3" s="65" t="s">
        <v>5</v>
      </c>
      <c r="G3" s="66"/>
      <c r="H3" s="81" t="s">
        <v>9</v>
      </c>
      <c r="I3" s="82"/>
    </row>
    <row r="4" s="2" customFormat="1" ht="29.25" customHeight="1" spans="1:9">
      <c r="A4" s="67"/>
      <c r="B4" s="68" t="s">
        <v>10</v>
      </c>
      <c r="C4" s="68" t="s">
        <v>11</v>
      </c>
      <c r="D4" s="68" t="s">
        <v>10</v>
      </c>
      <c r="E4" s="68" t="s">
        <v>11</v>
      </c>
      <c r="F4" s="68" t="s">
        <v>10</v>
      </c>
      <c r="G4" s="68" t="s">
        <v>11</v>
      </c>
      <c r="H4" s="68" t="s">
        <v>10</v>
      </c>
      <c r="I4" s="68" t="s">
        <v>11</v>
      </c>
    </row>
    <row r="5" s="3" customFormat="1" ht="27" customHeight="1" spans="1:9">
      <c r="A5" s="69" t="s">
        <v>12</v>
      </c>
      <c r="B5" s="94">
        <v>0</v>
      </c>
      <c r="C5" s="95">
        <v>0</v>
      </c>
      <c r="D5" s="94">
        <v>4.56</v>
      </c>
      <c r="E5" s="95">
        <v>1</v>
      </c>
      <c r="F5" s="94">
        <v>0</v>
      </c>
      <c r="G5" s="94">
        <v>0</v>
      </c>
      <c r="H5" s="96">
        <f t="shared" ref="H5:H35" si="0">+B5+D5+F5</f>
        <v>4.56</v>
      </c>
      <c r="I5" s="98">
        <f t="shared" ref="I5:I35" si="1">+C5+E5+G5</f>
        <v>1</v>
      </c>
    </row>
    <row r="6" s="3" customFormat="1" ht="27" customHeight="1" spans="1:9">
      <c r="A6" s="69" t="s">
        <v>13</v>
      </c>
      <c r="B6" s="94">
        <v>0</v>
      </c>
      <c r="C6" s="95">
        <v>0</v>
      </c>
      <c r="D6" s="94">
        <f>3.5+4.98</f>
        <v>8.48</v>
      </c>
      <c r="E6" s="95">
        <v>2</v>
      </c>
      <c r="F6" s="94">
        <v>0</v>
      </c>
      <c r="G6" s="94">
        <v>0</v>
      </c>
      <c r="H6" s="96">
        <f t="shared" si="0"/>
        <v>8.48</v>
      </c>
      <c r="I6" s="98">
        <f t="shared" si="1"/>
        <v>2</v>
      </c>
    </row>
    <row r="7" s="3" customFormat="1" ht="27" customHeight="1" spans="1:9">
      <c r="A7" s="69" t="s">
        <v>14</v>
      </c>
      <c r="B7" s="94">
        <v>0</v>
      </c>
      <c r="C7" s="95">
        <v>0</v>
      </c>
      <c r="D7" s="94">
        <f>4.62+5.58</f>
        <v>10.2</v>
      </c>
      <c r="E7" s="95">
        <v>2</v>
      </c>
      <c r="F7" s="94">
        <v>0</v>
      </c>
      <c r="G7" s="94">
        <v>0</v>
      </c>
      <c r="H7" s="96">
        <f t="shared" si="0"/>
        <v>10.2</v>
      </c>
      <c r="I7" s="98">
        <f t="shared" si="1"/>
        <v>2</v>
      </c>
    </row>
    <row r="8" s="3" customFormat="1" ht="27" customHeight="1" spans="1:9">
      <c r="A8" s="69" t="s">
        <v>15</v>
      </c>
      <c r="B8" s="94">
        <v>0</v>
      </c>
      <c r="C8" s="95">
        <v>0</v>
      </c>
      <c r="D8" s="94">
        <f>3.72+4.74</f>
        <v>8.46</v>
      </c>
      <c r="E8" s="95">
        <v>2</v>
      </c>
      <c r="F8" s="94">
        <v>0</v>
      </c>
      <c r="G8" s="94">
        <v>0</v>
      </c>
      <c r="H8" s="96">
        <f t="shared" si="0"/>
        <v>8.46</v>
      </c>
      <c r="I8" s="98">
        <f t="shared" si="1"/>
        <v>2</v>
      </c>
    </row>
    <row r="9" s="3" customFormat="1" ht="27" customHeight="1" spans="1:9">
      <c r="A9" s="69" t="s">
        <v>16</v>
      </c>
      <c r="B9" s="94">
        <v>0</v>
      </c>
      <c r="C9" s="95">
        <v>0</v>
      </c>
      <c r="D9" s="94">
        <f>5.04+5.16</f>
        <v>10.2</v>
      </c>
      <c r="E9" s="95">
        <v>2</v>
      </c>
      <c r="F9" s="94">
        <v>0</v>
      </c>
      <c r="G9" s="94">
        <v>0</v>
      </c>
      <c r="H9" s="96">
        <f t="shared" si="0"/>
        <v>10.2</v>
      </c>
      <c r="I9" s="98">
        <f t="shared" si="1"/>
        <v>2</v>
      </c>
    </row>
    <row r="10" s="3" customFormat="1" ht="27" customHeight="1" spans="1:9">
      <c r="A10" s="69" t="s">
        <v>17</v>
      </c>
      <c r="B10" s="94">
        <v>0</v>
      </c>
      <c r="C10" s="95">
        <v>0</v>
      </c>
      <c r="D10" s="94">
        <f>4.14+4.68</f>
        <v>8.82</v>
      </c>
      <c r="E10" s="95">
        <v>2</v>
      </c>
      <c r="F10" s="94">
        <v>0</v>
      </c>
      <c r="G10" s="94">
        <v>0</v>
      </c>
      <c r="H10" s="96">
        <f t="shared" si="0"/>
        <v>8.82</v>
      </c>
      <c r="I10" s="98">
        <f t="shared" si="1"/>
        <v>2</v>
      </c>
    </row>
    <row r="11" s="3" customFormat="1" ht="27" customHeight="1" spans="1:9">
      <c r="A11" s="69" t="s">
        <v>18</v>
      </c>
      <c r="B11" s="94">
        <v>0</v>
      </c>
      <c r="C11" s="95">
        <v>0</v>
      </c>
      <c r="D11" s="94">
        <v>0</v>
      </c>
      <c r="E11" s="95">
        <v>0</v>
      </c>
      <c r="F11" s="94">
        <v>0</v>
      </c>
      <c r="G11" s="94">
        <v>0</v>
      </c>
      <c r="H11" s="96">
        <f t="shared" si="0"/>
        <v>0</v>
      </c>
      <c r="I11" s="98">
        <f t="shared" si="1"/>
        <v>0</v>
      </c>
    </row>
    <row r="12" s="3" customFormat="1" ht="27" customHeight="1" spans="1:9">
      <c r="A12" s="69" t="s">
        <v>19</v>
      </c>
      <c r="B12" s="94">
        <v>0</v>
      </c>
      <c r="C12" s="95">
        <v>0</v>
      </c>
      <c r="D12" s="94">
        <f>4.94+4.06</f>
        <v>9</v>
      </c>
      <c r="E12" s="95">
        <v>2</v>
      </c>
      <c r="F12" s="94">
        <v>0</v>
      </c>
      <c r="G12" s="94">
        <v>0</v>
      </c>
      <c r="H12" s="96">
        <f t="shared" si="0"/>
        <v>9</v>
      </c>
      <c r="I12" s="98">
        <f t="shared" si="1"/>
        <v>2</v>
      </c>
    </row>
    <row r="13" s="3" customFormat="1" ht="27" customHeight="1" spans="1:9">
      <c r="A13" s="69" t="s">
        <v>20</v>
      </c>
      <c r="B13" s="94">
        <v>0</v>
      </c>
      <c r="C13" s="95">
        <v>0</v>
      </c>
      <c r="D13" s="94">
        <f>5.4+5.7</f>
        <v>11.1</v>
      </c>
      <c r="E13" s="95">
        <v>2</v>
      </c>
      <c r="F13" s="94">
        <v>0</v>
      </c>
      <c r="G13" s="94">
        <v>0</v>
      </c>
      <c r="H13" s="96">
        <f t="shared" si="0"/>
        <v>11.1</v>
      </c>
      <c r="I13" s="98">
        <f t="shared" si="1"/>
        <v>2</v>
      </c>
    </row>
    <row r="14" s="3" customFormat="1" ht="27" customHeight="1" spans="1:9">
      <c r="A14" s="69" t="s">
        <v>21</v>
      </c>
      <c r="B14" s="94">
        <v>0</v>
      </c>
      <c r="C14" s="95">
        <v>0</v>
      </c>
      <c r="D14" s="94">
        <f>3.96+4.48</f>
        <v>8.44</v>
      </c>
      <c r="E14" s="95">
        <v>2</v>
      </c>
      <c r="F14" s="94">
        <v>0</v>
      </c>
      <c r="G14" s="94">
        <v>0</v>
      </c>
      <c r="H14" s="96">
        <f t="shared" si="0"/>
        <v>8.44</v>
      </c>
      <c r="I14" s="98">
        <f t="shared" si="1"/>
        <v>2</v>
      </c>
    </row>
    <row r="15" s="3" customFormat="1" ht="27" customHeight="1" spans="1:9">
      <c r="A15" s="69" t="s">
        <v>22</v>
      </c>
      <c r="B15" s="94">
        <v>0</v>
      </c>
      <c r="C15" s="95">
        <v>0</v>
      </c>
      <c r="D15" s="94">
        <f>4.88+4.4</f>
        <v>9.28</v>
      </c>
      <c r="E15" s="95">
        <v>2</v>
      </c>
      <c r="F15" s="94">
        <v>0</v>
      </c>
      <c r="G15" s="94">
        <v>0</v>
      </c>
      <c r="H15" s="96">
        <f t="shared" si="0"/>
        <v>9.28</v>
      </c>
      <c r="I15" s="98">
        <f t="shared" si="1"/>
        <v>2</v>
      </c>
    </row>
    <row r="16" s="3" customFormat="1" ht="27" customHeight="1" spans="1:9">
      <c r="A16" s="69" t="s">
        <v>23</v>
      </c>
      <c r="B16" s="94">
        <v>0</v>
      </c>
      <c r="C16" s="95">
        <v>0</v>
      </c>
      <c r="D16" s="94">
        <f>3.36+5.26</f>
        <v>8.62</v>
      </c>
      <c r="E16" s="95">
        <v>2</v>
      </c>
      <c r="F16" s="94">
        <v>0</v>
      </c>
      <c r="G16" s="94">
        <v>0</v>
      </c>
      <c r="H16" s="96">
        <f t="shared" si="0"/>
        <v>8.62</v>
      </c>
      <c r="I16" s="98">
        <f t="shared" si="1"/>
        <v>2</v>
      </c>
    </row>
    <row r="17" s="3" customFormat="1" ht="27" customHeight="1" spans="1:9">
      <c r="A17" s="69" t="s">
        <v>24</v>
      </c>
      <c r="B17" s="94">
        <v>0</v>
      </c>
      <c r="C17" s="95">
        <v>0</v>
      </c>
      <c r="D17" s="94">
        <v>6.16</v>
      </c>
      <c r="E17" s="95">
        <v>1</v>
      </c>
      <c r="F17" s="94">
        <v>0</v>
      </c>
      <c r="G17" s="94">
        <v>0</v>
      </c>
      <c r="H17" s="96">
        <f t="shared" si="0"/>
        <v>6.16</v>
      </c>
      <c r="I17" s="98">
        <f t="shared" si="1"/>
        <v>1</v>
      </c>
    </row>
    <row r="18" s="3" customFormat="1" ht="27" customHeight="1" spans="1:9">
      <c r="A18" s="69" t="s">
        <v>25</v>
      </c>
      <c r="B18" s="94">
        <v>0</v>
      </c>
      <c r="C18" s="95">
        <v>0</v>
      </c>
      <c r="D18" s="94">
        <v>6.2</v>
      </c>
      <c r="E18" s="95">
        <v>1</v>
      </c>
      <c r="F18" s="94">
        <v>0</v>
      </c>
      <c r="G18" s="94">
        <v>0</v>
      </c>
      <c r="H18" s="96">
        <f t="shared" si="0"/>
        <v>6.2</v>
      </c>
      <c r="I18" s="98">
        <f t="shared" si="1"/>
        <v>1</v>
      </c>
    </row>
    <row r="19" s="3" customFormat="1" ht="27" customHeight="1" spans="1:9">
      <c r="A19" s="69" t="s">
        <v>26</v>
      </c>
      <c r="B19" s="94">
        <v>0</v>
      </c>
      <c r="C19" s="95">
        <v>0</v>
      </c>
      <c r="D19" s="94">
        <f>4.96+5.78</f>
        <v>10.74</v>
      </c>
      <c r="E19" s="95">
        <v>2</v>
      </c>
      <c r="F19" s="94">
        <v>0</v>
      </c>
      <c r="G19" s="94">
        <v>0</v>
      </c>
      <c r="H19" s="96">
        <f t="shared" si="0"/>
        <v>10.74</v>
      </c>
      <c r="I19" s="98">
        <f t="shared" si="1"/>
        <v>2</v>
      </c>
    </row>
    <row r="20" s="3" customFormat="1" ht="27" customHeight="1" spans="1:9">
      <c r="A20" s="69" t="s">
        <v>27</v>
      </c>
      <c r="B20" s="94">
        <v>0</v>
      </c>
      <c r="C20" s="95">
        <v>0</v>
      </c>
      <c r="D20" s="94">
        <f>4.94+6.34</f>
        <v>11.28</v>
      </c>
      <c r="E20" s="95">
        <v>2</v>
      </c>
      <c r="F20" s="94">
        <v>0</v>
      </c>
      <c r="G20" s="94">
        <v>0</v>
      </c>
      <c r="H20" s="96">
        <f t="shared" si="0"/>
        <v>11.28</v>
      </c>
      <c r="I20" s="98">
        <f t="shared" si="1"/>
        <v>2</v>
      </c>
    </row>
    <row r="21" s="3" customFormat="1" ht="27" customHeight="1" spans="1:9">
      <c r="A21" s="69" t="s">
        <v>28</v>
      </c>
      <c r="B21" s="94">
        <v>0</v>
      </c>
      <c r="C21" s="95">
        <v>0</v>
      </c>
      <c r="D21" s="94">
        <f>4.16+4.52</f>
        <v>8.68</v>
      </c>
      <c r="E21" s="95">
        <v>2</v>
      </c>
      <c r="F21" s="94">
        <v>0</v>
      </c>
      <c r="G21" s="94">
        <v>0</v>
      </c>
      <c r="H21" s="96">
        <f t="shared" si="0"/>
        <v>8.68</v>
      </c>
      <c r="I21" s="98">
        <f t="shared" si="1"/>
        <v>2</v>
      </c>
    </row>
    <row r="22" s="3" customFormat="1" ht="27" customHeight="1" spans="1:9">
      <c r="A22" s="69" t="s">
        <v>29</v>
      </c>
      <c r="B22" s="94">
        <v>0</v>
      </c>
      <c r="C22" s="95">
        <v>0</v>
      </c>
      <c r="D22" s="94">
        <f>5.96+4.78</f>
        <v>10.74</v>
      </c>
      <c r="E22" s="95">
        <v>2</v>
      </c>
      <c r="F22" s="94">
        <v>0</v>
      </c>
      <c r="G22" s="94">
        <v>0</v>
      </c>
      <c r="H22" s="96">
        <f t="shared" si="0"/>
        <v>10.74</v>
      </c>
      <c r="I22" s="98">
        <f t="shared" si="1"/>
        <v>2</v>
      </c>
    </row>
    <row r="23" s="3" customFormat="1" ht="27" customHeight="1" spans="1:9">
      <c r="A23" s="69" t="s">
        <v>30</v>
      </c>
      <c r="B23" s="94">
        <v>0</v>
      </c>
      <c r="C23" s="95">
        <v>0</v>
      </c>
      <c r="D23" s="94">
        <f>5.3+3.76</f>
        <v>9.06</v>
      </c>
      <c r="E23" s="95">
        <v>2</v>
      </c>
      <c r="F23" s="94">
        <v>0</v>
      </c>
      <c r="G23" s="94">
        <v>0</v>
      </c>
      <c r="H23" s="96">
        <f t="shared" si="0"/>
        <v>9.06</v>
      </c>
      <c r="I23" s="98">
        <f t="shared" si="1"/>
        <v>2</v>
      </c>
    </row>
    <row r="24" s="3" customFormat="1" ht="27" customHeight="1" spans="1:9">
      <c r="A24" s="69" t="s">
        <v>31</v>
      </c>
      <c r="B24" s="94">
        <v>0</v>
      </c>
      <c r="C24" s="95">
        <v>0</v>
      </c>
      <c r="D24" s="94">
        <v>6.18</v>
      </c>
      <c r="E24" s="95">
        <v>1</v>
      </c>
      <c r="F24" s="94">
        <v>0</v>
      </c>
      <c r="G24" s="94">
        <v>0</v>
      </c>
      <c r="H24" s="96">
        <f t="shared" si="0"/>
        <v>6.18</v>
      </c>
      <c r="I24" s="98">
        <f t="shared" si="1"/>
        <v>1</v>
      </c>
    </row>
    <row r="25" s="3" customFormat="1" ht="27" customHeight="1" spans="1:9">
      <c r="A25" s="69" t="s">
        <v>32</v>
      </c>
      <c r="B25" s="94">
        <v>0</v>
      </c>
      <c r="C25" s="95">
        <v>0</v>
      </c>
      <c r="D25" s="94">
        <f>4.4+5.08</f>
        <v>9.48</v>
      </c>
      <c r="E25" s="95">
        <v>2</v>
      </c>
      <c r="F25" s="94">
        <v>0</v>
      </c>
      <c r="G25" s="94">
        <v>0</v>
      </c>
      <c r="H25" s="96">
        <f t="shared" si="0"/>
        <v>9.48</v>
      </c>
      <c r="I25" s="98">
        <f t="shared" si="1"/>
        <v>2</v>
      </c>
    </row>
    <row r="26" s="3" customFormat="1" ht="27" customHeight="1" spans="1:9">
      <c r="A26" s="69" t="s">
        <v>33</v>
      </c>
      <c r="B26" s="94">
        <v>0</v>
      </c>
      <c r="C26" s="95">
        <v>0</v>
      </c>
      <c r="D26" s="94">
        <v>6.38</v>
      </c>
      <c r="E26" s="95">
        <v>1</v>
      </c>
      <c r="F26" s="94">
        <v>0</v>
      </c>
      <c r="G26" s="94">
        <v>0</v>
      </c>
      <c r="H26" s="96">
        <f t="shared" si="0"/>
        <v>6.38</v>
      </c>
      <c r="I26" s="98">
        <f t="shared" si="1"/>
        <v>1</v>
      </c>
    </row>
    <row r="27" s="3" customFormat="1" ht="27" customHeight="1" spans="1:9">
      <c r="A27" s="69" t="s">
        <v>34</v>
      </c>
      <c r="B27" s="94">
        <v>0</v>
      </c>
      <c r="C27" s="95">
        <v>0</v>
      </c>
      <c r="D27" s="94">
        <f>4.22+6.1</f>
        <v>10.32</v>
      </c>
      <c r="E27" s="95">
        <v>2</v>
      </c>
      <c r="F27" s="94">
        <v>0</v>
      </c>
      <c r="G27" s="94">
        <v>0</v>
      </c>
      <c r="H27" s="96">
        <f t="shared" si="0"/>
        <v>10.32</v>
      </c>
      <c r="I27" s="98">
        <f t="shared" si="1"/>
        <v>2</v>
      </c>
    </row>
    <row r="28" s="3" customFormat="1" ht="27" customHeight="1" spans="1:9">
      <c r="A28" s="69" t="s">
        <v>35</v>
      </c>
      <c r="B28" s="94">
        <v>0</v>
      </c>
      <c r="C28" s="95">
        <v>0</v>
      </c>
      <c r="D28" s="94">
        <f>4.52+4.84</f>
        <v>9.36</v>
      </c>
      <c r="E28" s="95">
        <v>2</v>
      </c>
      <c r="F28" s="94">
        <v>0</v>
      </c>
      <c r="G28" s="94">
        <v>0</v>
      </c>
      <c r="H28" s="96">
        <f t="shared" si="0"/>
        <v>9.36</v>
      </c>
      <c r="I28" s="98">
        <f t="shared" si="1"/>
        <v>2</v>
      </c>
    </row>
    <row r="29" s="3" customFormat="1" ht="27" customHeight="1" spans="1:9">
      <c r="A29" s="69" t="s">
        <v>36</v>
      </c>
      <c r="B29" s="94">
        <v>0</v>
      </c>
      <c r="C29" s="95">
        <v>0</v>
      </c>
      <c r="D29" s="94">
        <f>5.06+6.32</f>
        <v>11.38</v>
      </c>
      <c r="E29" s="95">
        <v>2</v>
      </c>
      <c r="F29" s="94">
        <v>0</v>
      </c>
      <c r="G29" s="94">
        <v>0</v>
      </c>
      <c r="H29" s="96">
        <f t="shared" si="0"/>
        <v>11.38</v>
      </c>
      <c r="I29" s="98">
        <f t="shared" si="1"/>
        <v>2</v>
      </c>
    </row>
    <row r="30" s="3" customFormat="1" ht="27" customHeight="1" spans="1:9">
      <c r="A30" s="69" t="s">
        <v>37</v>
      </c>
      <c r="B30" s="94">
        <v>0</v>
      </c>
      <c r="C30" s="95">
        <v>0</v>
      </c>
      <c r="D30" s="94">
        <f>4.42+4.16+3.92</f>
        <v>12.5</v>
      </c>
      <c r="E30" s="95">
        <v>3</v>
      </c>
      <c r="F30" s="94">
        <v>0</v>
      </c>
      <c r="G30" s="94">
        <v>0</v>
      </c>
      <c r="H30" s="96">
        <f t="shared" si="0"/>
        <v>12.5</v>
      </c>
      <c r="I30" s="98">
        <f t="shared" si="1"/>
        <v>3</v>
      </c>
    </row>
    <row r="31" s="3" customFormat="1" ht="27" customHeight="1" spans="1:9">
      <c r="A31" s="69" t="s">
        <v>38</v>
      </c>
      <c r="B31" s="94">
        <v>0</v>
      </c>
      <c r="C31" s="95">
        <v>0</v>
      </c>
      <c r="D31" s="94">
        <v>0</v>
      </c>
      <c r="E31" s="95">
        <v>0</v>
      </c>
      <c r="F31" s="94">
        <v>0</v>
      </c>
      <c r="G31" s="94">
        <v>0</v>
      </c>
      <c r="H31" s="96">
        <f t="shared" si="0"/>
        <v>0</v>
      </c>
      <c r="I31" s="98">
        <f t="shared" si="1"/>
        <v>0</v>
      </c>
    </row>
    <row r="32" s="3" customFormat="1" ht="27" customHeight="1" spans="1:9">
      <c r="A32" s="69" t="s">
        <v>39</v>
      </c>
      <c r="B32" s="94">
        <v>0</v>
      </c>
      <c r="C32" s="95">
        <v>0</v>
      </c>
      <c r="D32" s="94">
        <f>4.34+6.28</f>
        <v>10.62</v>
      </c>
      <c r="E32" s="95">
        <v>2</v>
      </c>
      <c r="F32" s="94">
        <v>0</v>
      </c>
      <c r="G32" s="94">
        <v>0</v>
      </c>
      <c r="H32" s="96">
        <f t="shared" si="0"/>
        <v>10.62</v>
      </c>
      <c r="I32" s="98">
        <f t="shared" si="1"/>
        <v>2</v>
      </c>
    </row>
    <row r="33" s="3" customFormat="1" ht="27" customHeight="1" spans="1:9">
      <c r="A33" s="69" t="s">
        <v>40</v>
      </c>
      <c r="B33" s="94">
        <v>0</v>
      </c>
      <c r="C33" s="95">
        <v>0</v>
      </c>
      <c r="D33" s="94">
        <v>5.88</v>
      </c>
      <c r="E33" s="95">
        <v>1</v>
      </c>
      <c r="F33" s="94">
        <v>0</v>
      </c>
      <c r="G33" s="94">
        <v>0</v>
      </c>
      <c r="H33" s="96">
        <f t="shared" si="0"/>
        <v>5.88</v>
      </c>
      <c r="I33" s="98">
        <f t="shared" si="1"/>
        <v>1</v>
      </c>
    </row>
    <row r="34" s="3" customFormat="1" ht="27" customHeight="1" spans="1:9">
      <c r="A34" s="69" t="s">
        <v>41</v>
      </c>
      <c r="B34" s="94">
        <v>0</v>
      </c>
      <c r="C34" s="95">
        <v>0</v>
      </c>
      <c r="D34" s="94">
        <f>5.8+5.28</f>
        <v>11.08</v>
      </c>
      <c r="E34" s="95">
        <v>2</v>
      </c>
      <c r="F34" s="94">
        <v>0</v>
      </c>
      <c r="G34" s="94">
        <v>0</v>
      </c>
      <c r="H34" s="96">
        <f t="shared" si="0"/>
        <v>11.08</v>
      </c>
      <c r="I34" s="98">
        <f t="shared" si="1"/>
        <v>2</v>
      </c>
    </row>
    <row r="35" s="3" customFormat="1" ht="27.75" customHeight="1" spans="1:9">
      <c r="A35" s="69" t="s">
        <v>42</v>
      </c>
      <c r="B35" s="94">
        <v>0</v>
      </c>
      <c r="C35" s="95">
        <v>0</v>
      </c>
      <c r="D35" s="94">
        <f>5.22+5.14+4.84</f>
        <v>15.2</v>
      </c>
      <c r="E35" s="95">
        <v>3</v>
      </c>
      <c r="F35" s="94">
        <v>0</v>
      </c>
      <c r="G35" s="94">
        <v>0</v>
      </c>
      <c r="H35" s="96">
        <f t="shared" si="0"/>
        <v>15.2</v>
      </c>
      <c r="I35" s="98">
        <f t="shared" si="1"/>
        <v>3</v>
      </c>
    </row>
    <row r="36" s="3" customFormat="1" ht="37.5" customHeight="1" spans="1:13">
      <c r="A36" s="70" t="s">
        <v>9</v>
      </c>
      <c r="B36" s="97">
        <f t="shared" ref="B36:I36" si="2">SUM(B5:B35)</f>
        <v>0</v>
      </c>
      <c r="C36" s="97">
        <f t="shared" si="2"/>
        <v>0</v>
      </c>
      <c r="D36" s="97">
        <f t="shared" si="2"/>
        <v>268.4</v>
      </c>
      <c r="E36" s="95">
        <f t="shared" si="2"/>
        <v>54</v>
      </c>
      <c r="F36" s="97">
        <f t="shared" si="2"/>
        <v>0</v>
      </c>
      <c r="G36" s="97">
        <f t="shared" si="2"/>
        <v>0</v>
      </c>
      <c r="H36" s="97">
        <f t="shared" si="2"/>
        <v>268.4</v>
      </c>
      <c r="I36" s="95">
        <f t="shared" si="2"/>
        <v>54</v>
      </c>
      <c r="K36" s="31"/>
      <c r="L36" s="31"/>
      <c r="M36" s="31"/>
    </row>
    <row r="37" s="4" customFormat="1" ht="33.75" customHeight="1" spans="1:11">
      <c r="A37" s="76" t="s">
        <v>47</v>
      </c>
      <c r="B37" s="78"/>
      <c r="C37" s="78"/>
      <c r="D37" s="78"/>
      <c r="E37" s="78"/>
      <c r="F37" s="78"/>
      <c r="G37" s="78"/>
      <c r="I37" s="85"/>
      <c r="K37" s="61"/>
    </row>
    <row r="38" s="1" customFormat="1" spans="1:7">
      <c r="A38" s="26"/>
      <c r="B38" s="26"/>
      <c r="C38" s="26"/>
      <c r="D38" s="26"/>
      <c r="E38" s="26"/>
      <c r="F38" s="26"/>
      <c r="G38" s="26"/>
    </row>
    <row r="39" spans="1:11">
      <c r="A39" s="25"/>
      <c r="B39" s="25"/>
      <c r="C39" s="25"/>
      <c r="D39" s="25"/>
      <c r="E39" s="25"/>
      <c r="F39" s="25"/>
      <c r="G39" s="25"/>
      <c r="H39" s="37"/>
      <c r="K39" s="37"/>
    </row>
    <row r="40" spans="1:9">
      <c r="A40" s="26"/>
      <c r="B40" s="26"/>
      <c r="C40" s="26"/>
      <c r="D40" s="26"/>
      <c r="E40" s="26"/>
      <c r="F40" s="26"/>
      <c r="G40" s="26"/>
      <c r="H40" s="37"/>
      <c r="I40" s="37"/>
    </row>
    <row r="41" spans="1:8">
      <c r="A41" s="26"/>
      <c r="B41" s="26"/>
      <c r="C41" s="26"/>
      <c r="D41" s="26"/>
      <c r="E41" s="26"/>
      <c r="F41" s="26"/>
      <c r="G41" s="26"/>
      <c r="H41" s="38"/>
    </row>
    <row r="42" spans="1:7">
      <c r="A42" s="26"/>
      <c r="B42" s="26"/>
      <c r="C42" s="26"/>
      <c r="D42" s="26"/>
      <c r="E42" s="26"/>
      <c r="F42" s="26"/>
      <c r="G42" s="26"/>
    </row>
    <row r="44" spans="8:9">
      <c r="H44" s="37"/>
      <c r="I44" s="37"/>
    </row>
    <row r="46" spans="8:8">
      <c r="H46" s="37"/>
    </row>
  </sheetData>
  <mergeCells count="7">
    <mergeCell ref="A1:I1"/>
    <mergeCell ref="B2:I2"/>
    <mergeCell ref="B3:C3"/>
    <mergeCell ref="D3:E3"/>
    <mergeCell ref="F3:G3"/>
    <mergeCell ref="H3:I3"/>
    <mergeCell ref="A3:A4"/>
  </mergeCells>
  <pageMargins left="0.47" right="0.22" top="0.23" bottom="0.23" header="0.24" footer="0.2"/>
  <pageSetup paperSize="9" scale="75" orientation="portrait" horizontalDpi="600" verticalDpi="600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AG48"/>
  <sheetViews>
    <sheetView zoomScaleSheetLayoutView="60" workbookViewId="0">
      <pane xSplit="1" ySplit="4" topLeftCell="B27" activePane="bottomRight" state="frozen"/>
      <selection/>
      <selection pane="topRight"/>
      <selection pane="bottomLeft"/>
      <selection pane="bottomRight" activeCell="K26" sqref="K26"/>
    </sheetView>
  </sheetViews>
  <sheetFormatPr defaultColWidth="9" defaultRowHeight="14.25"/>
  <cols>
    <col min="1" max="1" width="5.375" style="1" customWidth="1"/>
    <col min="2" max="2" width="12.375" style="1" customWidth="1"/>
    <col min="3" max="3" width="6" style="1" customWidth="1"/>
    <col min="4" max="4" width="12.25" style="1" customWidth="1"/>
    <col min="5" max="5" width="5.375" style="1" customWidth="1"/>
    <col min="6" max="6" width="9.625" style="1" customWidth="1"/>
    <col min="7" max="7" width="6.25" style="1" customWidth="1"/>
    <col min="8" max="8" width="10.125" style="1" customWidth="1"/>
    <col min="9" max="9" width="5.75" style="1" customWidth="1"/>
    <col min="10" max="10" width="9.25" style="1" customWidth="1"/>
    <col min="11" max="11" width="6.5" style="1" customWidth="1"/>
    <col min="12" max="12" width="9.875" style="1" customWidth="1"/>
    <col min="13" max="13" width="6.625" style="1" customWidth="1"/>
    <col min="14" max="14" width="9.625" style="1" customWidth="1"/>
    <col min="15" max="15" width="6.625" style="1" customWidth="1"/>
    <col min="16" max="16" width="9.75" style="1" customWidth="1"/>
    <col min="17" max="17" width="6.625" style="1" customWidth="1"/>
    <col min="18" max="18" width="12.875" style="1"/>
    <col min="19" max="19" width="6" style="1" customWidth="1"/>
    <col min="20" max="20" width="8.375" style="1" customWidth="1"/>
    <col min="21" max="21" width="5.875" style="1" customWidth="1"/>
    <col min="22" max="22" width="8.75" style="1" customWidth="1"/>
    <col min="23" max="23" width="5.75" style="1" customWidth="1"/>
    <col min="24" max="24" width="9.125" style="1" customWidth="1"/>
    <col min="25" max="25" width="5" style="1" customWidth="1"/>
    <col min="26" max="26" width="9.125" style="1" customWidth="1"/>
    <col min="27" max="27" width="5.5" style="1" customWidth="1"/>
    <col min="28" max="28" width="13.75" style="1" customWidth="1"/>
    <col min="29" max="29" width="11.125" style="1" customWidth="1"/>
    <col min="30" max="30" width="9" style="1"/>
    <col min="31" max="31" width="13" style="1"/>
    <col min="32" max="32" width="9" style="1"/>
    <col min="33" max="33" width="11.625" style="1"/>
    <col min="34" max="16384" width="9" style="1"/>
  </cols>
  <sheetData>
    <row r="1" s="1" customFormat="1" ht="35.25" customHeight="1" spans="1:29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</row>
    <row r="2" s="2" customFormat="1" ht="23.25" customHeight="1" spans="1:29">
      <c r="A2" s="6">
        <v>1000</v>
      </c>
      <c r="B2" s="6"/>
      <c r="C2" s="6"/>
      <c r="D2" s="63" t="s">
        <v>1</v>
      </c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</row>
    <row r="3" s="2" customFormat="1" ht="37.5" customHeight="1" spans="1:29">
      <c r="A3" s="64" t="s">
        <v>2</v>
      </c>
      <c r="B3" s="65" t="s">
        <v>48</v>
      </c>
      <c r="C3" s="66"/>
      <c r="D3" s="65" t="s">
        <v>49</v>
      </c>
      <c r="E3" s="66"/>
      <c r="F3" s="65" t="s">
        <v>50</v>
      </c>
      <c r="G3" s="66"/>
      <c r="H3" s="65" t="s">
        <v>51</v>
      </c>
      <c r="I3" s="66"/>
      <c r="J3" s="65" t="s">
        <v>52</v>
      </c>
      <c r="K3" s="66"/>
      <c r="L3" s="65" t="s">
        <v>53</v>
      </c>
      <c r="M3" s="66"/>
      <c r="N3" s="65" t="s">
        <v>54</v>
      </c>
      <c r="O3" s="66"/>
      <c r="P3" s="65" t="s">
        <v>55</v>
      </c>
      <c r="Q3" s="66"/>
      <c r="R3" s="65" t="s">
        <v>56</v>
      </c>
      <c r="S3" s="66"/>
      <c r="T3" s="65" t="s">
        <v>57</v>
      </c>
      <c r="U3" s="66"/>
      <c r="V3" s="65" t="s">
        <v>58</v>
      </c>
      <c r="W3" s="66"/>
      <c r="X3" s="65" t="s">
        <v>59</v>
      </c>
      <c r="Y3" s="66"/>
      <c r="Z3" s="65" t="s">
        <v>60</v>
      </c>
      <c r="AA3" s="66"/>
      <c r="AB3" s="81" t="s">
        <v>9</v>
      </c>
      <c r="AC3" s="82"/>
    </row>
    <row r="4" s="2" customFormat="1" ht="24.75" customHeight="1" spans="1:29">
      <c r="A4" s="67"/>
      <c r="B4" s="67" t="s">
        <v>10</v>
      </c>
      <c r="C4" s="67" t="s">
        <v>11</v>
      </c>
      <c r="D4" s="67" t="s">
        <v>10</v>
      </c>
      <c r="E4" s="67" t="s">
        <v>11</v>
      </c>
      <c r="F4" s="68" t="s">
        <v>10</v>
      </c>
      <c r="G4" s="68" t="s">
        <v>11</v>
      </c>
      <c r="H4" s="68" t="s">
        <v>10</v>
      </c>
      <c r="I4" s="68" t="s">
        <v>11</v>
      </c>
      <c r="J4" s="68" t="s">
        <v>10</v>
      </c>
      <c r="K4" s="68" t="s">
        <v>11</v>
      </c>
      <c r="L4" s="68" t="s">
        <v>10</v>
      </c>
      <c r="M4" s="68" t="s">
        <v>11</v>
      </c>
      <c r="N4" s="68" t="s">
        <v>10</v>
      </c>
      <c r="O4" s="68" t="s">
        <v>11</v>
      </c>
      <c r="P4" s="68" t="s">
        <v>10</v>
      </c>
      <c r="Q4" s="68" t="s">
        <v>11</v>
      </c>
      <c r="R4" s="68" t="s">
        <v>10</v>
      </c>
      <c r="S4" s="68" t="s">
        <v>11</v>
      </c>
      <c r="T4" s="68" t="s">
        <v>10</v>
      </c>
      <c r="U4" s="68" t="s">
        <v>11</v>
      </c>
      <c r="V4" s="68" t="s">
        <v>10</v>
      </c>
      <c r="W4" s="68" t="s">
        <v>11</v>
      </c>
      <c r="X4" s="68" t="s">
        <v>10</v>
      </c>
      <c r="Y4" s="68" t="s">
        <v>11</v>
      </c>
      <c r="Z4" s="68" t="s">
        <v>10</v>
      </c>
      <c r="AA4" s="68" t="s">
        <v>11</v>
      </c>
      <c r="AB4" s="68" t="s">
        <v>10</v>
      </c>
      <c r="AC4" s="68" t="s">
        <v>11</v>
      </c>
    </row>
    <row r="5" s="3" customFormat="1" ht="25.5" customHeight="1" spans="1:29">
      <c r="A5" s="69" t="s">
        <v>12</v>
      </c>
      <c r="B5" s="14">
        <f>5.88+5.92</f>
        <v>11.8</v>
      </c>
      <c r="C5" s="15">
        <v>2</v>
      </c>
      <c r="D5" s="14">
        <v>0</v>
      </c>
      <c r="E5" s="15">
        <v>0</v>
      </c>
      <c r="F5" s="14">
        <v>0</v>
      </c>
      <c r="G5" s="15">
        <v>0</v>
      </c>
      <c r="H5" s="14">
        <v>0</v>
      </c>
      <c r="I5" s="15">
        <v>0</v>
      </c>
      <c r="J5" s="14">
        <v>0</v>
      </c>
      <c r="K5" s="15">
        <v>0</v>
      </c>
      <c r="L5" s="14">
        <v>0</v>
      </c>
      <c r="M5" s="15">
        <v>0</v>
      </c>
      <c r="N5" s="14">
        <v>0</v>
      </c>
      <c r="O5" s="15">
        <v>0</v>
      </c>
      <c r="P5" s="14">
        <v>0</v>
      </c>
      <c r="Q5" s="15">
        <v>0</v>
      </c>
      <c r="R5" s="14">
        <v>3.52</v>
      </c>
      <c r="S5" s="15">
        <v>1</v>
      </c>
      <c r="T5" s="14">
        <v>0</v>
      </c>
      <c r="U5" s="15">
        <v>0</v>
      </c>
      <c r="V5" s="14">
        <v>2.34</v>
      </c>
      <c r="W5" s="15">
        <v>1</v>
      </c>
      <c r="X5" s="14">
        <v>0</v>
      </c>
      <c r="Y5" s="15">
        <v>0</v>
      </c>
      <c r="Z5" s="14">
        <v>0</v>
      </c>
      <c r="AA5" s="15">
        <v>0</v>
      </c>
      <c r="AB5" s="30">
        <f t="shared" ref="AB5:AB35" si="0">B5+D5+F5+H5+J5+L5+N5+P5+R5+T5+V5+X5+Z5</f>
        <v>17.66</v>
      </c>
      <c r="AC5" s="15">
        <f t="shared" ref="AC5:AC35" si="1">C5+E5+G5+I5+K5+M5+O5+Q5+S5+U5+W5+Y5+AA5</f>
        <v>4</v>
      </c>
    </row>
    <row r="6" s="3" customFormat="1" ht="25.5" customHeight="1" spans="1:29">
      <c r="A6" s="69" t="s">
        <v>13</v>
      </c>
      <c r="B6" s="14">
        <f>6.78+5.22</f>
        <v>12</v>
      </c>
      <c r="C6" s="15">
        <v>2</v>
      </c>
      <c r="D6" s="14">
        <f>8.98+5.18</f>
        <v>14.16</v>
      </c>
      <c r="E6" s="15">
        <v>2</v>
      </c>
      <c r="F6" s="14">
        <v>5.9</v>
      </c>
      <c r="G6" s="15">
        <v>1</v>
      </c>
      <c r="H6" s="14">
        <v>0</v>
      </c>
      <c r="I6" s="15">
        <v>0</v>
      </c>
      <c r="J6" s="14">
        <v>0</v>
      </c>
      <c r="K6" s="15">
        <v>0</v>
      </c>
      <c r="L6" s="14">
        <v>0</v>
      </c>
      <c r="M6" s="15">
        <v>0</v>
      </c>
      <c r="N6" s="14">
        <v>5.92</v>
      </c>
      <c r="O6" s="15">
        <v>1</v>
      </c>
      <c r="P6" s="14">
        <v>3.92</v>
      </c>
      <c r="Q6" s="15">
        <v>1</v>
      </c>
      <c r="R6" s="14">
        <v>5.5</v>
      </c>
      <c r="S6" s="15">
        <v>1</v>
      </c>
      <c r="T6" s="14">
        <v>0</v>
      </c>
      <c r="U6" s="15">
        <v>0</v>
      </c>
      <c r="V6" s="14">
        <v>2.02</v>
      </c>
      <c r="W6" s="15">
        <v>1</v>
      </c>
      <c r="X6" s="14">
        <v>0</v>
      </c>
      <c r="Y6" s="15">
        <v>0</v>
      </c>
      <c r="Z6" s="14">
        <v>0</v>
      </c>
      <c r="AA6" s="15">
        <v>0</v>
      </c>
      <c r="AB6" s="30">
        <f t="shared" si="0"/>
        <v>49.42</v>
      </c>
      <c r="AC6" s="15">
        <f t="shared" si="1"/>
        <v>9</v>
      </c>
    </row>
    <row r="7" s="3" customFormat="1" ht="25.5" customHeight="1" spans="1:29">
      <c r="A7" s="69" t="s">
        <v>14</v>
      </c>
      <c r="B7" s="14">
        <f>5.8+2.62</f>
        <v>8.42</v>
      </c>
      <c r="C7" s="15">
        <v>2</v>
      </c>
      <c r="D7" s="14">
        <v>5.84</v>
      </c>
      <c r="E7" s="15">
        <v>1</v>
      </c>
      <c r="F7" s="14">
        <v>5.76</v>
      </c>
      <c r="G7" s="15">
        <v>1</v>
      </c>
      <c r="H7" s="14">
        <v>0</v>
      </c>
      <c r="I7" s="15">
        <v>0</v>
      </c>
      <c r="J7" s="14">
        <v>0</v>
      </c>
      <c r="K7" s="15">
        <v>0</v>
      </c>
      <c r="L7" s="14">
        <v>0</v>
      </c>
      <c r="M7" s="15">
        <v>0</v>
      </c>
      <c r="N7" s="14">
        <v>6.4</v>
      </c>
      <c r="O7" s="15">
        <v>1</v>
      </c>
      <c r="P7" s="14">
        <v>6.44</v>
      </c>
      <c r="Q7" s="15">
        <v>1</v>
      </c>
      <c r="R7" s="14">
        <v>5.32</v>
      </c>
      <c r="S7" s="15">
        <v>1</v>
      </c>
      <c r="T7" s="14">
        <v>0</v>
      </c>
      <c r="U7" s="15">
        <v>0</v>
      </c>
      <c r="V7" s="14">
        <f>2.96+3.3</f>
        <v>6.26</v>
      </c>
      <c r="W7" s="15">
        <v>2</v>
      </c>
      <c r="X7" s="14">
        <v>0</v>
      </c>
      <c r="Y7" s="15">
        <v>0</v>
      </c>
      <c r="Z7" s="14">
        <v>0</v>
      </c>
      <c r="AA7" s="15">
        <v>0</v>
      </c>
      <c r="AB7" s="30">
        <f t="shared" si="0"/>
        <v>44.44</v>
      </c>
      <c r="AC7" s="15">
        <f t="shared" si="1"/>
        <v>9</v>
      </c>
    </row>
    <row r="8" s="3" customFormat="1" ht="25.5" customHeight="1" spans="1:29">
      <c r="A8" s="69" t="s">
        <v>15</v>
      </c>
      <c r="B8" s="14">
        <f>5.62+4.14</f>
        <v>9.76</v>
      </c>
      <c r="C8" s="15">
        <v>2</v>
      </c>
      <c r="D8" s="14">
        <v>4.54</v>
      </c>
      <c r="E8" s="15">
        <v>1</v>
      </c>
      <c r="F8" s="14">
        <f>6.36+2.96</f>
        <v>9.32</v>
      </c>
      <c r="G8" s="15">
        <v>2</v>
      </c>
      <c r="H8" s="14">
        <v>0</v>
      </c>
      <c r="I8" s="15">
        <v>0</v>
      </c>
      <c r="J8" s="14">
        <v>0</v>
      </c>
      <c r="K8" s="15">
        <v>0</v>
      </c>
      <c r="L8" s="14">
        <v>9.34</v>
      </c>
      <c r="M8" s="15">
        <v>1</v>
      </c>
      <c r="N8" s="14">
        <v>6.3</v>
      </c>
      <c r="O8" s="15">
        <v>1</v>
      </c>
      <c r="P8" s="14">
        <v>6</v>
      </c>
      <c r="Q8" s="15">
        <v>1</v>
      </c>
      <c r="R8" s="14">
        <v>6.58</v>
      </c>
      <c r="S8" s="15">
        <v>1</v>
      </c>
      <c r="T8" s="14">
        <v>0</v>
      </c>
      <c r="U8" s="15">
        <v>0</v>
      </c>
      <c r="V8" s="14">
        <f>2.56+2.8</f>
        <v>5.36</v>
      </c>
      <c r="W8" s="15">
        <v>2</v>
      </c>
      <c r="X8" s="14">
        <v>6.98</v>
      </c>
      <c r="Y8" s="15">
        <v>1</v>
      </c>
      <c r="Z8" s="14">
        <v>0</v>
      </c>
      <c r="AA8" s="15">
        <v>0</v>
      </c>
      <c r="AB8" s="30">
        <f t="shared" si="0"/>
        <v>64.18</v>
      </c>
      <c r="AC8" s="15">
        <f t="shared" si="1"/>
        <v>12</v>
      </c>
    </row>
    <row r="9" s="3" customFormat="1" ht="25.5" customHeight="1" spans="1:29">
      <c r="A9" s="69" t="s">
        <v>16</v>
      </c>
      <c r="B9" s="14">
        <v>5.78</v>
      </c>
      <c r="C9" s="15">
        <v>1</v>
      </c>
      <c r="D9" s="14">
        <v>4.74</v>
      </c>
      <c r="E9" s="15">
        <v>1</v>
      </c>
      <c r="F9" s="14">
        <v>5.76</v>
      </c>
      <c r="G9" s="15">
        <v>1</v>
      </c>
      <c r="H9" s="14">
        <v>0</v>
      </c>
      <c r="I9" s="15">
        <v>0</v>
      </c>
      <c r="J9" s="14">
        <v>0</v>
      </c>
      <c r="K9" s="15">
        <v>0</v>
      </c>
      <c r="L9" s="14">
        <v>0</v>
      </c>
      <c r="M9" s="15">
        <v>0</v>
      </c>
      <c r="N9" s="14">
        <v>6.7</v>
      </c>
      <c r="O9" s="15">
        <v>1</v>
      </c>
      <c r="P9" s="14">
        <v>4.84</v>
      </c>
      <c r="Q9" s="15">
        <v>1</v>
      </c>
      <c r="R9" s="14">
        <v>6.14</v>
      </c>
      <c r="S9" s="15">
        <v>1</v>
      </c>
      <c r="T9" s="14">
        <v>0</v>
      </c>
      <c r="U9" s="15">
        <v>0</v>
      </c>
      <c r="V9" s="14">
        <f>2.8+2.66</f>
        <v>5.46</v>
      </c>
      <c r="W9" s="15">
        <v>2</v>
      </c>
      <c r="X9" s="14">
        <v>0</v>
      </c>
      <c r="Y9" s="15">
        <v>0</v>
      </c>
      <c r="Z9" s="14">
        <v>0</v>
      </c>
      <c r="AA9" s="15">
        <v>0</v>
      </c>
      <c r="AB9" s="30">
        <f t="shared" si="0"/>
        <v>39.42</v>
      </c>
      <c r="AC9" s="15">
        <f t="shared" si="1"/>
        <v>8</v>
      </c>
    </row>
    <row r="10" s="3" customFormat="1" ht="25.5" customHeight="1" spans="1:29">
      <c r="A10" s="69" t="s">
        <v>17</v>
      </c>
      <c r="B10" s="14">
        <f>5.44+3.36</f>
        <v>8.8</v>
      </c>
      <c r="C10" s="15">
        <v>2</v>
      </c>
      <c r="D10" s="14">
        <v>0</v>
      </c>
      <c r="E10" s="15">
        <v>0</v>
      </c>
      <c r="F10" s="14">
        <v>6.64</v>
      </c>
      <c r="G10" s="15">
        <v>1</v>
      </c>
      <c r="H10" s="14">
        <v>0</v>
      </c>
      <c r="I10" s="15">
        <v>0</v>
      </c>
      <c r="J10" s="14">
        <v>0</v>
      </c>
      <c r="K10" s="15">
        <v>0</v>
      </c>
      <c r="L10" s="14">
        <v>8.62</v>
      </c>
      <c r="M10" s="15">
        <v>1</v>
      </c>
      <c r="N10" s="14">
        <v>6.4</v>
      </c>
      <c r="O10" s="15">
        <v>1</v>
      </c>
      <c r="P10" s="14">
        <v>0</v>
      </c>
      <c r="Q10" s="15">
        <v>0</v>
      </c>
      <c r="R10" s="14">
        <v>6.98</v>
      </c>
      <c r="S10" s="15">
        <v>1</v>
      </c>
      <c r="T10" s="14">
        <v>0</v>
      </c>
      <c r="U10" s="15">
        <v>0</v>
      </c>
      <c r="V10" s="14">
        <v>3.36</v>
      </c>
      <c r="W10" s="15">
        <v>1</v>
      </c>
      <c r="X10" s="14">
        <v>0</v>
      </c>
      <c r="Y10" s="15">
        <v>0</v>
      </c>
      <c r="Z10" s="14">
        <v>0</v>
      </c>
      <c r="AA10" s="15">
        <v>0</v>
      </c>
      <c r="AB10" s="30">
        <f t="shared" si="0"/>
        <v>40.8</v>
      </c>
      <c r="AC10" s="15">
        <f t="shared" si="1"/>
        <v>7</v>
      </c>
    </row>
    <row r="11" s="3" customFormat="1" ht="25.5" customHeight="1" spans="1:29">
      <c r="A11" s="69" t="s">
        <v>18</v>
      </c>
      <c r="B11" s="14">
        <f>6.18+3.68</f>
        <v>9.86</v>
      </c>
      <c r="C11" s="15">
        <v>2</v>
      </c>
      <c r="D11" s="14">
        <v>8.72</v>
      </c>
      <c r="E11" s="15">
        <v>1</v>
      </c>
      <c r="F11" s="14">
        <v>4.68</v>
      </c>
      <c r="G11" s="15">
        <v>1</v>
      </c>
      <c r="H11" s="14">
        <v>0</v>
      </c>
      <c r="I11" s="15">
        <v>0</v>
      </c>
      <c r="J11" s="14">
        <v>0</v>
      </c>
      <c r="K11" s="15">
        <v>0</v>
      </c>
      <c r="L11" s="14">
        <v>0</v>
      </c>
      <c r="M11" s="15">
        <v>0</v>
      </c>
      <c r="N11" s="14">
        <v>5.64</v>
      </c>
      <c r="O11" s="15">
        <v>1</v>
      </c>
      <c r="P11" s="14">
        <v>4.78</v>
      </c>
      <c r="Q11" s="15">
        <v>1</v>
      </c>
      <c r="R11" s="14">
        <v>7.08</v>
      </c>
      <c r="S11" s="15">
        <v>1</v>
      </c>
      <c r="T11" s="14">
        <v>0</v>
      </c>
      <c r="U11" s="15">
        <v>0</v>
      </c>
      <c r="V11" s="14">
        <v>2.86</v>
      </c>
      <c r="W11" s="15">
        <v>1</v>
      </c>
      <c r="X11" s="14">
        <v>0</v>
      </c>
      <c r="Y11" s="15">
        <v>0</v>
      </c>
      <c r="Z11" s="14">
        <v>0</v>
      </c>
      <c r="AA11" s="15">
        <v>0</v>
      </c>
      <c r="AB11" s="30">
        <f t="shared" si="0"/>
        <v>43.62</v>
      </c>
      <c r="AC11" s="15">
        <f t="shared" si="1"/>
        <v>8</v>
      </c>
    </row>
    <row r="12" s="3" customFormat="1" ht="25.5" customHeight="1" spans="1:29">
      <c r="A12" s="69" t="s">
        <v>19</v>
      </c>
      <c r="B12" s="14">
        <f>4.68+4</f>
        <v>8.68</v>
      </c>
      <c r="C12" s="15">
        <v>2</v>
      </c>
      <c r="D12" s="14">
        <v>3.76</v>
      </c>
      <c r="E12" s="15">
        <v>1</v>
      </c>
      <c r="F12" s="14">
        <v>4.38</v>
      </c>
      <c r="G12" s="15">
        <v>1</v>
      </c>
      <c r="H12" s="14">
        <v>0</v>
      </c>
      <c r="I12" s="15">
        <v>0</v>
      </c>
      <c r="J12" s="14">
        <v>0</v>
      </c>
      <c r="K12" s="15">
        <v>0</v>
      </c>
      <c r="L12" s="14">
        <v>0</v>
      </c>
      <c r="M12" s="15">
        <v>0</v>
      </c>
      <c r="N12" s="14">
        <v>5.2</v>
      </c>
      <c r="O12" s="15">
        <v>1</v>
      </c>
      <c r="P12" s="14">
        <v>3.5</v>
      </c>
      <c r="Q12" s="15">
        <v>1</v>
      </c>
      <c r="R12" s="14">
        <v>5.48</v>
      </c>
      <c r="S12" s="15">
        <v>1</v>
      </c>
      <c r="T12" s="14">
        <v>0</v>
      </c>
      <c r="U12" s="15">
        <v>0</v>
      </c>
      <c r="V12" s="14">
        <v>0</v>
      </c>
      <c r="W12" s="15">
        <v>0</v>
      </c>
      <c r="X12" s="14">
        <v>0</v>
      </c>
      <c r="Y12" s="15">
        <v>0</v>
      </c>
      <c r="Z12" s="14">
        <v>0</v>
      </c>
      <c r="AA12" s="15">
        <v>0</v>
      </c>
      <c r="AB12" s="30">
        <f t="shared" si="0"/>
        <v>31</v>
      </c>
      <c r="AC12" s="15">
        <f t="shared" si="1"/>
        <v>7</v>
      </c>
    </row>
    <row r="13" s="3" customFormat="1" ht="25.5" customHeight="1" spans="1:29">
      <c r="A13" s="69" t="s">
        <v>20</v>
      </c>
      <c r="B13" s="14">
        <f>5.88+2.76</f>
        <v>8.64</v>
      </c>
      <c r="C13" s="15">
        <v>2</v>
      </c>
      <c r="D13" s="14">
        <v>5.12</v>
      </c>
      <c r="E13" s="15">
        <v>1</v>
      </c>
      <c r="F13" s="14">
        <v>5.36</v>
      </c>
      <c r="G13" s="15">
        <v>1</v>
      </c>
      <c r="H13" s="14">
        <v>0</v>
      </c>
      <c r="I13" s="15">
        <v>0</v>
      </c>
      <c r="J13" s="14">
        <v>0</v>
      </c>
      <c r="K13" s="15">
        <v>0</v>
      </c>
      <c r="L13" s="14">
        <v>0</v>
      </c>
      <c r="M13" s="15">
        <v>0</v>
      </c>
      <c r="N13" s="14">
        <v>6.1</v>
      </c>
      <c r="O13" s="15">
        <v>1</v>
      </c>
      <c r="P13" s="14">
        <v>5.96</v>
      </c>
      <c r="Q13" s="15">
        <v>1</v>
      </c>
      <c r="R13" s="14">
        <v>7.54</v>
      </c>
      <c r="S13" s="15">
        <v>1</v>
      </c>
      <c r="T13" s="14">
        <v>0</v>
      </c>
      <c r="U13" s="15">
        <v>0</v>
      </c>
      <c r="V13" s="14">
        <f>3.56+3.4</f>
        <v>6.96</v>
      </c>
      <c r="W13" s="15">
        <v>2</v>
      </c>
      <c r="X13" s="14">
        <v>0</v>
      </c>
      <c r="Y13" s="15">
        <v>0</v>
      </c>
      <c r="Z13" s="14">
        <v>0</v>
      </c>
      <c r="AA13" s="15">
        <v>0</v>
      </c>
      <c r="AB13" s="30">
        <f t="shared" si="0"/>
        <v>45.68</v>
      </c>
      <c r="AC13" s="15">
        <f t="shared" si="1"/>
        <v>9</v>
      </c>
    </row>
    <row r="14" s="3" customFormat="1" ht="25.5" customHeight="1" spans="1:29">
      <c r="A14" s="69" t="s">
        <v>21</v>
      </c>
      <c r="B14" s="14">
        <f>5.16+2.24</f>
        <v>7.4</v>
      </c>
      <c r="C14" s="15">
        <v>2</v>
      </c>
      <c r="D14" s="14">
        <v>4.52</v>
      </c>
      <c r="E14" s="15">
        <v>1</v>
      </c>
      <c r="F14" s="14">
        <v>6.26</v>
      </c>
      <c r="G14" s="15">
        <v>1</v>
      </c>
      <c r="H14" s="14">
        <v>0</v>
      </c>
      <c r="I14" s="15">
        <v>0</v>
      </c>
      <c r="J14" s="14">
        <v>0</v>
      </c>
      <c r="K14" s="15">
        <v>0</v>
      </c>
      <c r="L14" s="14">
        <v>10.58</v>
      </c>
      <c r="M14" s="15">
        <v>1</v>
      </c>
      <c r="N14" s="14">
        <v>5.88</v>
      </c>
      <c r="O14" s="15">
        <v>1</v>
      </c>
      <c r="P14" s="14">
        <v>5.12</v>
      </c>
      <c r="Q14" s="15">
        <v>1</v>
      </c>
      <c r="R14" s="14">
        <v>5.82</v>
      </c>
      <c r="S14" s="15">
        <v>1</v>
      </c>
      <c r="T14" s="14">
        <v>0</v>
      </c>
      <c r="U14" s="15">
        <v>0</v>
      </c>
      <c r="V14" s="14">
        <v>3.66</v>
      </c>
      <c r="W14" s="15">
        <v>1</v>
      </c>
      <c r="X14" s="14">
        <v>6.36</v>
      </c>
      <c r="Y14" s="15">
        <v>1</v>
      </c>
      <c r="Z14" s="14">
        <v>0</v>
      </c>
      <c r="AA14" s="15">
        <v>0</v>
      </c>
      <c r="AB14" s="30">
        <f t="shared" si="0"/>
        <v>55.6</v>
      </c>
      <c r="AC14" s="15">
        <f t="shared" si="1"/>
        <v>10</v>
      </c>
    </row>
    <row r="15" s="3" customFormat="1" ht="25.5" customHeight="1" spans="1:29">
      <c r="A15" s="69" t="s">
        <v>22</v>
      </c>
      <c r="B15" s="14">
        <f>5.6+4.66</f>
        <v>10.26</v>
      </c>
      <c r="C15" s="15">
        <v>2</v>
      </c>
      <c r="D15" s="14">
        <v>4.74</v>
      </c>
      <c r="E15" s="15">
        <v>1</v>
      </c>
      <c r="F15" s="14">
        <f>7.34+2.98</f>
        <v>10.32</v>
      </c>
      <c r="G15" s="15">
        <v>2</v>
      </c>
      <c r="H15" s="14">
        <v>0</v>
      </c>
      <c r="I15" s="15">
        <v>0</v>
      </c>
      <c r="J15" s="14">
        <v>0</v>
      </c>
      <c r="K15" s="15">
        <v>0</v>
      </c>
      <c r="L15" s="14">
        <v>0</v>
      </c>
      <c r="M15" s="15">
        <v>0</v>
      </c>
      <c r="N15" s="14">
        <v>6.16</v>
      </c>
      <c r="O15" s="15">
        <v>1</v>
      </c>
      <c r="P15" s="14">
        <v>4.96</v>
      </c>
      <c r="Q15" s="15">
        <v>1</v>
      </c>
      <c r="R15" s="14">
        <v>6.84</v>
      </c>
      <c r="S15" s="15">
        <v>1</v>
      </c>
      <c r="T15" s="14">
        <v>0</v>
      </c>
      <c r="U15" s="15">
        <v>0</v>
      </c>
      <c r="V15" s="14">
        <v>3.44</v>
      </c>
      <c r="W15" s="15">
        <v>1</v>
      </c>
      <c r="X15" s="14">
        <v>0</v>
      </c>
      <c r="Y15" s="15">
        <v>0</v>
      </c>
      <c r="Z15" s="14">
        <v>0</v>
      </c>
      <c r="AA15" s="15">
        <v>0</v>
      </c>
      <c r="AB15" s="30">
        <f t="shared" si="0"/>
        <v>46.72</v>
      </c>
      <c r="AC15" s="15">
        <f t="shared" si="1"/>
        <v>9</v>
      </c>
    </row>
    <row r="16" s="3" customFormat="1" ht="25.5" customHeight="1" spans="1:29">
      <c r="A16" s="69" t="s">
        <v>23</v>
      </c>
      <c r="B16" s="14">
        <v>6.06</v>
      </c>
      <c r="C16" s="15">
        <v>1</v>
      </c>
      <c r="D16" s="14">
        <v>5.1</v>
      </c>
      <c r="E16" s="15">
        <v>1</v>
      </c>
      <c r="F16" s="14">
        <v>6.4</v>
      </c>
      <c r="G16" s="15">
        <v>1</v>
      </c>
      <c r="H16" s="14">
        <v>0</v>
      </c>
      <c r="I16" s="15">
        <v>0</v>
      </c>
      <c r="J16" s="14">
        <v>0</v>
      </c>
      <c r="K16" s="15">
        <v>0</v>
      </c>
      <c r="L16" s="14">
        <v>0</v>
      </c>
      <c r="M16" s="15">
        <v>0</v>
      </c>
      <c r="N16" s="14">
        <v>6.82</v>
      </c>
      <c r="O16" s="15">
        <v>1</v>
      </c>
      <c r="P16" s="14">
        <v>5.14</v>
      </c>
      <c r="Q16" s="15">
        <v>1</v>
      </c>
      <c r="R16" s="14">
        <v>5.44</v>
      </c>
      <c r="S16" s="15">
        <v>1</v>
      </c>
      <c r="T16" s="14">
        <v>0</v>
      </c>
      <c r="U16" s="15">
        <v>0</v>
      </c>
      <c r="V16" s="14">
        <f>2.92+2.98</f>
        <v>5.9</v>
      </c>
      <c r="W16" s="15">
        <v>2</v>
      </c>
      <c r="X16" s="14">
        <v>0</v>
      </c>
      <c r="Y16" s="15">
        <v>0</v>
      </c>
      <c r="Z16" s="14">
        <v>0</v>
      </c>
      <c r="AA16" s="15">
        <v>0</v>
      </c>
      <c r="AB16" s="30">
        <f t="shared" si="0"/>
        <v>40.86</v>
      </c>
      <c r="AC16" s="15">
        <f t="shared" si="1"/>
        <v>8</v>
      </c>
    </row>
    <row r="17" s="3" customFormat="1" ht="25.5" customHeight="1" spans="1:29">
      <c r="A17" s="69" t="s">
        <v>24</v>
      </c>
      <c r="B17" s="14">
        <f>6.7+3.1</f>
        <v>9.8</v>
      </c>
      <c r="C17" s="15">
        <v>2</v>
      </c>
      <c r="D17" s="14">
        <v>0</v>
      </c>
      <c r="E17" s="15">
        <v>0</v>
      </c>
      <c r="F17" s="14">
        <v>6.72</v>
      </c>
      <c r="G17" s="15">
        <v>1</v>
      </c>
      <c r="H17" s="14">
        <v>0</v>
      </c>
      <c r="I17" s="15">
        <v>0</v>
      </c>
      <c r="J17" s="14">
        <v>0</v>
      </c>
      <c r="K17" s="15">
        <v>0</v>
      </c>
      <c r="L17" s="14">
        <v>9.78</v>
      </c>
      <c r="M17" s="15">
        <v>1</v>
      </c>
      <c r="N17" s="14">
        <v>6.54</v>
      </c>
      <c r="O17" s="15">
        <v>1</v>
      </c>
      <c r="P17" s="14">
        <v>5.92</v>
      </c>
      <c r="Q17" s="15">
        <v>1</v>
      </c>
      <c r="R17" s="14">
        <v>7.26</v>
      </c>
      <c r="S17" s="15">
        <v>1</v>
      </c>
      <c r="T17" s="14">
        <v>0</v>
      </c>
      <c r="U17" s="15">
        <v>0</v>
      </c>
      <c r="V17" s="14">
        <v>2.94</v>
      </c>
      <c r="W17" s="15">
        <v>1</v>
      </c>
      <c r="X17" s="14">
        <v>0</v>
      </c>
      <c r="Y17" s="15">
        <v>0</v>
      </c>
      <c r="Z17" s="14">
        <v>0</v>
      </c>
      <c r="AA17" s="15">
        <v>0</v>
      </c>
      <c r="AB17" s="30">
        <f t="shared" si="0"/>
        <v>48.96</v>
      </c>
      <c r="AC17" s="15">
        <f t="shared" si="1"/>
        <v>8</v>
      </c>
    </row>
    <row r="18" s="3" customFormat="1" ht="25.5" customHeight="1" spans="1:29">
      <c r="A18" s="69" t="s">
        <v>25</v>
      </c>
      <c r="B18" s="14">
        <f>6.46+4.18</f>
        <v>10.64</v>
      </c>
      <c r="C18" s="15">
        <v>2</v>
      </c>
      <c r="D18" s="14">
        <v>5.44</v>
      </c>
      <c r="E18" s="15">
        <v>1</v>
      </c>
      <c r="F18" s="14">
        <v>4.38</v>
      </c>
      <c r="G18" s="15">
        <v>1</v>
      </c>
      <c r="H18" s="14">
        <v>0</v>
      </c>
      <c r="I18" s="15">
        <v>0</v>
      </c>
      <c r="J18" s="14">
        <v>0</v>
      </c>
      <c r="K18" s="15">
        <v>0</v>
      </c>
      <c r="L18" s="14">
        <v>0</v>
      </c>
      <c r="M18" s="15">
        <v>0</v>
      </c>
      <c r="N18" s="14">
        <v>5.58</v>
      </c>
      <c r="O18" s="15">
        <v>1</v>
      </c>
      <c r="P18" s="14">
        <v>5.68</v>
      </c>
      <c r="Q18" s="15">
        <v>1</v>
      </c>
      <c r="R18" s="14">
        <v>5.7</v>
      </c>
      <c r="S18" s="15">
        <v>1</v>
      </c>
      <c r="T18" s="14">
        <v>0</v>
      </c>
      <c r="U18" s="15">
        <v>0</v>
      </c>
      <c r="V18" s="14">
        <v>2.92</v>
      </c>
      <c r="W18" s="15">
        <v>1</v>
      </c>
      <c r="X18" s="14">
        <v>6.52</v>
      </c>
      <c r="Y18" s="15">
        <v>1</v>
      </c>
      <c r="Z18" s="14">
        <v>0</v>
      </c>
      <c r="AA18" s="15">
        <v>0</v>
      </c>
      <c r="AB18" s="30">
        <f t="shared" si="0"/>
        <v>46.86</v>
      </c>
      <c r="AC18" s="15">
        <f t="shared" si="1"/>
        <v>9</v>
      </c>
    </row>
    <row r="19" s="3" customFormat="1" ht="25.5" customHeight="1" spans="1:29">
      <c r="A19" s="69" t="s">
        <v>26</v>
      </c>
      <c r="B19" s="14">
        <f>5.32+4.18</f>
        <v>9.5</v>
      </c>
      <c r="C19" s="15">
        <v>2</v>
      </c>
      <c r="D19" s="14">
        <v>7</v>
      </c>
      <c r="E19" s="15">
        <v>1</v>
      </c>
      <c r="F19" s="14">
        <v>3.74</v>
      </c>
      <c r="G19" s="15">
        <v>1</v>
      </c>
      <c r="H19" s="14">
        <v>0</v>
      </c>
      <c r="I19" s="15">
        <v>0</v>
      </c>
      <c r="J19" s="14">
        <v>0</v>
      </c>
      <c r="K19" s="15">
        <v>0</v>
      </c>
      <c r="L19" s="14">
        <v>0</v>
      </c>
      <c r="M19" s="15">
        <v>0</v>
      </c>
      <c r="N19" s="14">
        <v>5.6</v>
      </c>
      <c r="O19" s="15">
        <v>1</v>
      </c>
      <c r="P19" s="14">
        <v>0</v>
      </c>
      <c r="Q19" s="15">
        <v>0</v>
      </c>
      <c r="R19" s="14">
        <v>7.18</v>
      </c>
      <c r="S19" s="15">
        <v>1</v>
      </c>
      <c r="T19" s="14">
        <v>0</v>
      </c>
      <c r="U19" s="15">
        <v>0</v>
      </c>
      <c r="V19" s="14">
        <v>0</v>
      </c>
      <c r="W19" s="15">
        <v>0</v>
      </c>
      <c r="X19" s="14">
        <v>0</v>
      </c>
      <c r="Y19" s="15">
        <v>0</v>
      </c>
      <c r="Z19" s="14">
        <v>0</v>
      </c>
      <c r="AA19" s="15">
        <v>0</v>
      </c>
      <c r="AB19" s="30">
        <f t="shared" si="0"/>
        <v>33.02</v>
      </c>
      <c r="AC19" s="15">
        <f t="shared" si="1"/>
        <v>6</v>
      </c>
    </row>
    <row r="20" s="3" customFormat="1" ht="25.5" customHeight="1" spans="1:29">
      <c r="A20" s="69" t="s">
        <v>27</v>
      </c>
      <c r="B20" s="14">
        <f>5.5+4.36</f>
        <v>9.86</v>
      </c>
      <c r="C20" s="15">
        <v>2</v>
      </c>
      <c r="D20" s="14">
        <v>5.54</v>
      </c>
      <c r="E20" s="15">
        <v>1</v>
      </c>
      <c r="F20" s="14">
        <v>5.06</v>
      </c>
      <c r="G20" s="15">
        <v>1</v>
      </c>
      <c r="H20" s="14">
        <v>0</v>
      </c>
      <c r="I20" s="15">
        <v>0</v>
      </c>
      <c r="J20" s="14">
        <v>0</v>
      </c>
      <c r="K20" s="15">
        <v>0</v>
      </c>
      <c r="L20" s="14">
        <v>0</v>
      </c>
      <c r="M20" s="15">
        <v>0</v>
      </c>
      <c r="N20" s="14">
        <v>5.26</v>
      </c>
      <c r="O20" s="15">
        <v>1</v>
      </c>
      <c r="P20" s="14">
        <v>5.16</v>
      </c>
      <c r="Q20" s="15">
        <v>1</v>
      </c>
      <c r="R20" s="14">
        <v>5.58</v>
      </c>
      <c r="S20" s="15">
        <v>1</v>
      </c>
      <c r="T20" s="14">
        <v>0</v>
      </c>
      <c r="U20" s="15">
        <v>0</v>
      </c>
      <c r="V20" s="14">
        <f>3.38+3.18</f>
        <v>6.56</v>
      </c>
      <c r="W20" s="15">
        <v>2</v>
      </c>
      <c r="X20" s="14">
        <v>6.64</v>
      </c>
      <c r="Y20" s="15">
        <v>1</v>
      </c>
      <c r="Z20" s="14">
        <v>5.26</v>
      </c>
      <c r="AA20" s="15">
        <v>1</v>
      </c>
      <c r="AB20" s="30">
        <f t="shared" si="0"/>
        <v>54.92</v>
      </c>
      <c r="AC20" s="15">
        <f t="shared" si="1"/>
        <v>11</v>
      </c>
    </row>
    <row r="21" s="3" customFormat="1" ht="25.5" customHeight="1" spans="1:29">
      <c r="A21" s="69" t="s">
        <v>28</v>
      </c>
      <c r="B21" s="14">
        <v>6.14</v>
      </c>
      <c r="C21" s="15">
        <v>1</v>
      </c>
      <c r="D21" s="14">
        <v>0</v>
      </c>
      <c r="E21" s="15">
        <v>0</v>
      </c>
      <c r="F21" s="14">
        <v>5.78</v>
      </c>
      <c r="G21" s="15">
        <v>1</v>
      </c>
      <c r="H21" s="14">
        <v>0</v>
      </c>
      <c r="I21" s="15">
        <v>0</v>
      </c>
      <c r="J21" s="14">
        <v>0</v>
      </c>
      <c r="K21" s="15">
        <v>0</v>
      </c>
      <c r="L21" s="14">
        <v>0</v>
      </c>
      <c r="M21" s="15">
        <v>0</v>
      </c>
      <c r="N21" s="14">
        <v>6.32</v>
      </c>
      <c r="O21" s="15">
        <v>1</v>
      </c>
      <c r="P21" s="14">
        <v>0</v>
      </c>
      <c r="Q21" s="15">
        <v>0</v>
      </c>
      <c r="R21" s="14">
        <v>6.6</v>
      </c>
      <c r="S21" s="15">
        <v>1</v>
      </c>
      <c r="T21" s="14">
        <v>0</v>
      </c>
      <c r="U21" s="15">
        <v>0</v>
      </c>
      <c r="V21" s="14">
        <f>3.12+3.12</f>
        <v>6.24</v>
      </c>
      <c r="W21" s="15">
        <v>2</v>
      </c>
      <c r="X21" s="14">
        <v>0</v>
      </c>
      <c r="Y21" s="15">
        <v>0</v>
      </c>
      <c r="Z21" s="14">
        <v>2.94</v>
      </c>
      <c r="AA21" s="15">
        <v>1</v>
      </c>
      <c r="AB21" s="30">
        <f t="shared" si="0"/>
        <v>34.02</v>
      </c>
      <c r="AC21" s="15">
        <f t="shared" si="1"/>
        <v>7</v>
      </c>
    </row>
    <row r="22" s="3" customFormat="1" ht="25.5" customHeight="1" spans="1:29">
      <c r="A22" s="69" t="s">
        <v>29</v>
      </c>
      <c r="B22" s="14">
        <f>5.08+2.86</f>
        <v>7.94</v>
      </c>
      <c r="C22" s="15">
        <v>2</v>
      </c>
      <c r="D22" s="14">
        <v>4.26</v>
      </c>
      <c r="E22" s="15">
        <v>1</v>
      </c>
      <c r="F22" s="14">
        <v>4.12</v>
      </c>
      <c r="G22" s="15">
        <v>1</v>
      </c>
      <c r="H22" s="14">
        <v>0</v>
      </c>
      <c r="I22" s="15">
        <v>0</v>
      </c>
      <c r="J22" s="14">
        <v>0</v>
      </c>
      <c r="K22" s="15">
        <v>0</v>
      </c>
      <c r="L22" s="14">
        <v>0</v>
      </c>
      <c r="M22" s="15">
        <v>0</v>
      </c>
      <c r="N22" s="14">
        <v>5.56</v>
      </c>
      <c r="O22" s="15">
        <v>1</v>
      </c>
      <c r="P22" s="14">
        <v>5.38</v>
      </c>
      <c r="Q22" s="15">
        <v>1</v>
      </c>
      <c r="R22" s="14">
        <v>5.74</v>
      </c>
      <c r="S22" s="15">
        <v>1</v>
      </c>
      <c r="T22" s="14">
        <v>0</v>
      </c>
      <c r="U22" s="15">
        <v>0</v>
      </c>
      <c r="V22" s="14">
        <v>3.72</v>
      </c>
      <c r="W22" s="15">
        <v>1</v>
      </c>
      <c r="X22" s="14">
        <v>0</v>
      </c>
      <c r="Y22" s="15">
        <v>0</v>
      </c>
      <c r="Z22" s="14">
        <v>1.92</v>
      </c>
      <c r="AA22" s="15">
        <v>1</v>
      </c>
      <c r="AB22" s="30">
        <f t="shared" si="0"/>
        <v>38.64</v>
      </c>
      <c r="AC22" s="15">
        <f t="shared" si="1"/>
        <v>9</v>
      </c>
    </row>
    <row r="23" s="3" customFormat="1" ht="25.5" customHeight="1" spans="1:29">
      <c r="A23" s="69" t="s">
        <v>30</v>
      </c>
      <c r="B23" s="14">
        <f>5.06+3.72</f>
        <v>8.78</v>
      </c>
      <c r="C23" s="15">
        <v>2</v>
      </c>
      <c r="D23" s="14">
        <v>7.72</v>
      </c>
      <c r="E23" s="15">
        <v>1</v>
      </c>
      <c r="F23" s="14">
        <v>5</v>
      </c>
      <c r="G23" s="15">
        <v>1</v>
      </c>
      <c r="H23" s="14">
        <v>0</v>
      </c>
      <c r="I23" s="15">
        <v>0</v>
      </c>
      <c r="J23" s="14">
        <v>0</v>
      </c>
      <c r="K23" s="15">
        <v>0</v>
      </c>
      <c r="L23" s="14">
        <v>0</v>
      </c>
      <c r="M23" s="15">
        <v>0</v>
      </c>
      <c r="N23" s="14">
        <v>5.08</v>
      </c>
      <c r="O23" s="15">
        <v>1</v>
      </c>
      <c r="P23" s="14">
        <v>4.74</v>
      </c>
      <c r="Q23" s="15">
        <v>1</v>
      </c>
      <c r="R23" s="14">
        <v>6.38</v>
      </c>
      <c r="S23" s="15">
        <v>1</v>
      </c>
      <c r="T23" s="14">
        <v>0</v>
      </c>
      <c r="U23" s="15">
        <v>0</v>
      </c>
      <c r="V23" s="14">
        <v>3.48</v>
      </c>
      <c r="W23" s="15">
        <v>1</v>
      </c>
      <c r="X23" s="14">
        <v>4.34</v>
      </c>
      <c r="Y23" s="15">
        <v>1</v>
      </c>
      <c r="Z23" s="14">
        <v>1.48</v>
      </c>
      <c r="AA23" s="15">
        <v>1</v>
      </c>
      <c r="AB23" s="30">
        <f t="shared" si="0"/>
        <v>47</v>
      </c>
      <c r="AC23" s="15">
        <f t="shared" si="1"/>
        <v>10</v>
      </c>
    </row>
    <row r="24" s="3" customFormat="1" ht="25.5" customHeight="1" spans="1:29">
      <c r="A24" s="69" t="s">
        <v>31</v>
      </c>
      <c r="B24" s="14">
        <v>6.2</v>
      </c>
      <c r="C24" s="15">
        <v>1</v>
      </c>
      <c r="D24" s="14">
        <v>0</v>
      </c>
      <c r="E24" s="15">
        <v>0</v>
      </c>
      <c r="F24" s="14">
        <v>5.1</v>
      </c>
      <c r="G24" s="15">
        <v>1</v>
      </c>
      <c r="H24" s="14">
        <v>0</v>
      </c>
      <c r="I24" s="15">
        <v>0</v>
      </c>
      <c r="J24" s="14">
        <v>0</v>
      </c>
      <c r="K24" s="15">
        <v>0</v>
      </c>
      <c r="L24" s="14">
        <v>0</v>
      </c>
      <c r="M24" s="15">
        <v>0</v>
      </c>
      <c r="N24" s="14">
        <v>4.7</v>
      </c>
      <c r="O24" s="15">
        <v>1</v>
      </c>
      <c r="P24" s="14">
        <v>6.24</v>
      </c>
      <c r="Q24" s="15">
        <v>1</v>
      </c>
      <c r="R24" s="14">
        <v>6.36</v>
      </c>
      <c r="S24" s="15">
        <v>1</v>
      </c>
      <c r="T24" s="14">
        <v>0</v>
      </c>
      <c r="U24" s="15">
        <v>0</v>
      </c>
      <c r="V24" s="14">
        <v>3.04</v>
      </c>
      <c r="W24" s="15">
        <v>1</v>
      </c>
      <c r="X24" s="14">
        <v>0</v>
      </c>
      <c r="Y24" s="15">
        <v>0</v>
      </c>
      <c r="Z24" s="14">
        <v>1.02</v>
      </c>
      <c r="AA24" s="15">
        <v>1</v>
      </c>
      <c r="AB24" s="30">
        <f t="shared" si="0"/>
        <v>32.66</v>
      </c>
      <c r="AC24" s="15">
        <f t="shared" si="1"/>
        <v>7</v>
      </c>
    </row>
    <row r="25" s="3" customFormat="1" ht="25.5" customHeight="1" spans="1:29">
      <c r="A25" s="69" t="s">
        <v>32</v>
      </c>
      <c r="B25" s="14">
        <f>6.04+3.72</f>
        <v>9.76</v>
      </c>
      <c r="C25" s="15">
        <v>2</v>
      </c>
      <c r="D25" s="14">
        <v>4.02</v>
      </c>
      <c r="E25" s="15">
        <v>1</v>
      </c>
      <c r="F25" s="14">
        <v>3.58</v>
      </c>
      <c r="G25" s="15">
        <v>1</v>
      </c>
      <c r="H25" s="14">
        <v>0</v>
      </c>
      <c r="I25" s="15">
        <v>0</v>
      </c>
      <c r="J25" s="14">
        <v>0</v>
      </c>
      <c r="K25" s="15">
        <v>0</v>
      </c>
      <c r="L25" s="14">
        <v>0</v>
      </c>
      <c r="M25" s="15">
        <v>0</v>
      </c>
      <c r="N25" s="14">
        <v>3.9</v>
      </c>
      <c r="O25" s="15">
        <v>1</v>
      </c>
      <c r="P25" s="14">
        <v>0</v>
      </c>
      <c r="Q25" s="15">
        <v>0</v>
      </c>
      <c r="R25" s="14">
        <v>6.24</v>
      </c>
      <c r="S25" s="15">
        <v>1</v>
      </c>
      <c r="T25" s="14">
        <v>0</v>
      </c>
      <c r="U25" s="15">
        <v>0</v>
      </c>
      <c r="V25" s="14">
        <v>1.88</v>
      </c>
      <c r="W25" s="15">
        <v>1</v>
      </c>
      <c r="X25" s="14">
        <v>0</v>
      </c>
      <c r="Y25" s="15">
        <v>0</v>
      </c>
      <c r="Z25" s="14">
        <v>1.16</v>
      </c>
      <c r="AA25" s="15">
        <v>1</v>
      </c>
      <c r="AB25" s="30">
        <f t="shared" si="0"/>
        <v>30.54</v>
      </c>
      <c r="AC25" s="15">
        <f t="shared" si="1"/>
        <v>8</v>
      </c>
    </row>
    <row r="26" s="3" customFormat="1" ht="25.5" customHeight="1" spans="1:29">
      <c r="A26" s="69" t="s">
        <v>33</v>
      </c>
      <c r="B26" s="14">
        <f>5.1+4</f>
        <v>9.1</v>
      </c>
      <c r="C26" s="15">
        <v>2</v>
      </c>
      <c r="D26" s="14">
        <v>4.06</v>
      </c>
      <c r="E26" s="15">
        <v>1</v>
      </c>
      <c r="F26" s="14">
        <v>0</v>
      </c>
      <c r="G26" s="15">
        <v>0</v>
      </c>
      <c r="H26" s="14">
        <v>0</v>
      </c>
      <c r="I26" s="15">
        <v>0</v>
      </c>
      <c r="J26" s="14">
        <v>0</v>
      </c>
      <c r="K26" s="15">
        <v>0</v>
      </c>
      <c r="L26" s="14">
        <v>0</v>
      </c>
      <c r="M26" s="15">
        <v>0</v>
      </c>
      <c r="N26" s="14">
        <v>4.74</v>
      </c>
      <c r="O26" s="15">
        <v>1</v>
      </c>
      <c r="P26" s="14">
        <v>4.42</v>
      </c>
      <c r="Q26" s="15">
        <v>1</v>
      </c>
      <c r="R26" s="14">
        <v>5.72</v>
      </c>
      <c r="S26" s="15">
        <v>1</v>
      </c>
      <c r="T26" s="14">
        <v>0</v>
      </c>
      <c r="U26" s="15">
        <v>0</v>
      </c>
      <c r="V26" s="14">
        <v>0</v>
      </c>
      <c r="W26" s="15">
        <v>0</v>
      </c>
      <c r="X26" s="14">
        <v>0</v>
      </c>
      <c r="Y26" s="15">
        <v>0</v>
      </c>
      <c r="Z26" s="14">
        <v>1.14</v>
      </c>
      <c r="AA26" s="15">
        <v>1</v>
      </c>
      <c r="AB26" s="30">
        <f t="shared" si="0"/>
        <v>29.18</v>
      </c>
      <c r="AC26" s="15">
        <f t="shared" si="1"/>
        <v>7</v>
      </c>
    </row>
    <row r="27" s="3" customFormat="1" ht="25.5" customHeight="1" spans="1:29">
      <c r="A27" s="69" t="s">
        <v>34</v>
      </c>
      <c r="B27" s="14">
        <v>0</v>
      </c>
      <c r="C27" s="15">
        <v>0</v>
      </c>
      <c r="D27" s="14">
        <v>5.7</v>
      </c>
      <c r="E27" s="15">
        <v>1</v>
      </c>
      <c r="F27" s="14">
        <v>5.12</v>
      </c>
      <c r="G27" s="15">
        <v>1</v>
      </c>
      <c r="H27" s="14">
        <v>0</v>
      </c>
      <c r="I27" s="15">
        <v>0</v>
      </c>
      <c r="J27" s="14">
        <v>0</v>
      </c>
      <c r="K27" s="15">
        <v>0</v>
      </c>
      <c r="L27" s="14">
        <v>0</v>
      </c>
      <c r="M27" s="15">
        <v>0</v>
      </c>
      <c r="N27" s="14">
        <v>4.36</v>
      </c>
      <c r="O27" s="15">
        <v>1</v>
      </c>
      <c r="P27" s="14">
        <v>0</v>
      </c>
      <c r="Q27" s="15">
        <v>0</v>
      </c>
      <c r="R27" s="14">
        <v>5.04</v>
      </c>
      <c r="S27" s="15">
        <v>1</v>
      </c>
      <c r="T27" s="14">
        <v>0</v>
      </c>
      <c r="U27" s="15">
        <v>0</v>
      </c>
      <c r="V27" s="14">
        <v>2.66</v>
      </c>
      <c r="W27" s="15">
        <v>1</v>
      </c>
      <c r="X27" s="14">
        <v>0</v>
      </c>
      <c r="Y27" s="15">
        <v>0</v>
      </c>
      <c r="Z27" s="14">
        <v>0</v>
      </c>
      <c r="AA27" s="15">
        <v>0</v>
      </c>
      <c r="AB27" s="30">
        <f t="shared" si="0"/>
        <v>22.88</v>
      </c>
      <c r="AC27" s="15">
        <f t="shared" si="1"/>
        <v>5</v>
      </c>
    </row>
    <row r="28" s="3" customFormat="1" ht="25.5" customHeight="1" spans="1:29">
      <c r="A28" s="69" t="s">
        <v>35</v>
      </c>
      <c r="B28" s="14">
        <v>1.76</v>
      </c>
      <c r="C28" s="15">
        <v>1</v>
      </c>
      <c r="D28" s="14">
        <v>5.92</v>
      </c>
      <c r="E28" s="15">
        <v>1</v>
      </c>
      <c r="F28" s="14">
        <v>3.82</v>
      </c>
      <c r="G28" s="15">
        <v>1</v>
      </c>
      <c r="H28" s="14">
        <v>1.8</v>
      </c>
      <c r="I28" s="15">
        <v>1</v>
      </c>
      <c r="J28" s="14">
        <v>0</v>
      </c>
      <c r="K28" s="15">
        <v>0</v>
      </c>
      <c r="L28" s="14">
        <v>0</v>
      </c>
      <c r="M28" s="15">
        <v>0</v>
      </c>
      <c r="N28" s="14">
        <v>4.28</v>
      </c>
      <c r="O28" s="15">
        <v>1</v>
      </c>
      <c r="P28" s="14">
        <v>5.14</v>
      </c>
      <c r="Q28" s="15">
        <v>1</v>
      </c>
      <c r="R28" s="14">
        <v>5.82</v>
      </c>
      <c r="S28" s="15">
        <v>1</v>
      </c>
      <c r="T28" s="14">
        <v>0</v>
      </c>
      <c r="U28" s="15">
        <v>0</v>
      </c>
      <c r="V28" s="14">
        <v>2.42</v>
      </c>
      <c r="W28" s="15">
        <v>1</v>
      </c>
      <c r="X28" s="14">
        <v>5.04</v>
      </c>
      <c r="Y28" s="15">
        <v>1</v>
      </c>
      <c r="Z28" s="14">
        <v>1.32</v>
      </c>
      <c r="AA28" s="15">
        <v>1</v>
      </c>
      <c r="AB28" s="30">
        <f t="shared" si="0"/>
        <v>37.32</v>
      </c>
      <c r="AC28" s="15">
        <f t="shared" si="1"/>
        <v>10</v>
      </c>
    </row>
    <row r="29" s="3" customFormat="1" ht="25.5" customHeight="1" spans="1:29">
      <c r="A29" s="69" t="s">
        <v>36</v>
      </c>
      <c r="B29" s="14">
        <f>4.26+4.36</f>
        <v>8.62</v>
      </c>
      <c r="C29" s="15">
        <v>2</v>
      </c>
      <c r="D29" s="14">
        <v>0</v>
      </c>
      <c r="E29" s="15">
        <v>0</v>
      </c>
      <c r="F29" s="14">
        <v>3.4</v>
      </c>
      <c r="G29" s="15">
        <v>1</v>
      </c>
      <c r="H29" s="14">
        <v>0</v>
      </c>
      <c r="I29" s="15">
        <v>0</v>
      </c>
      <c r="J29" s="14">
        <v>0</v>
      </c>
      <c r="K29" s="15">
        <v>0</v>
      </c>
      <c r="L29" s="14">
        <v>7.2</v>
      </c>
      <c r="M29" s="15">
        <v>1</v>
      </c>
      <c r="N29" s="14">
        <v>5.58</v>
      </c>
      <c r="O29" s="15">
        <v>1</v>
      </c>
      <c r="P29" s="14">
        <v>0</v>
      </c>
      <c r="Q29" s="15">
        <v>0</v>
      </c>
      <c r="R29" s="14">
        <v>6.54</v>
      </c>
      <c r="S29" s="15">
        <v>1</v>
      </c>
      <c r="T29" s="14">
        <v>0</v>
      </c>
      <c r="U29" s="15">
        <v>0</v>
      </c>
      <c r="V29" s="14">
        <v>2.26</v>
      </c>
      <c r="W29" s="15">
        <v>1</v>
      </c>
      <c r="X29" s="14">
        <v>0</v>
      </c>
      <c r="Y29" s="15">
        <v>0</v>
      </c>
      <c r="Z29" s="14">
        <v>1.58</v>
      </c>
      <c r="AA29" s="15">
        <v>1</v>
      </c>
      <c r="AB29" s="30">
        <f t="shared" si="0"/>
        <v>35.18</v>
      </c>
      <c r="AC29" s="15">
        <f t="shared" si="1"/>
        <v>8</v>
      </c>
    </row>
    <row r="30" s="3" customFormat="1" ht="25.5" customHeight="1" spans="1:29">
      <c r="A30" s="69" t="s">
        <v>37</v>
      </c>
      <c r="B30" s="14">
        <f>5.48+2.82</f>
        <v>8.3</v>
      </c>
      <c r="C30" s="15">
        <v>2</v>
      </c>
      <c r="D30" s="14">
        <v>3.6</v>
      </c>
      <c r="E30" s="15">
        <v>1</v>
      </c>
      <c r="F30" s="14">
        <v>4.66</v>
      </c>
      <c r="G30" s="15">
        <v>1</v>
      </c>
      <c r="H30" s="14">
        <v>1.68</v>
      </c>
      <c r="I30" s="15">
        <v>1</v>
      </c>
      <c r="J30" s="14">
        <v>0</v>
      </c>
      <c r="K30" s="15">
        <v>0</v>
      </c>
      <c r="L30" s="14">
        <v>0</v>
      </c>
      <c r="M30" s="15">
        <v>0</v>
      </c>
      <c r="N30" s="14">
        <v>0</v>
      </c>
      <c r="O30" s="15">
        <v>0</v>
      </c>
      <c r="P30" s="14">
        <v>4.36</v>
      </c>
      <c r="Q30" s="15">
        <v>1</v>
      </c>
      <c r="R30" s="14">
        <v>6.1</v>
      </c>
      <c r="S30" s="15">
        <v>1</v>
      </c>
      <c r="T30" s="14">
        <v>0</v>
      </c>
      <c r="U30" s="15">
        <v>0</v>
      </c>
      <c r="V30" s="14">
        <v>2.58</v>
      </c>
      <c r="W30" s="15">
        <v>1</v>
      </c>
      <c r="X30" s="14">
        <v>0</v>
      </c>
      <c r="Y30" s="15">
        <v>0</v>
      </c>
      <c r="Z30" s="14">
        <v>1.58</v>
      </c>
      <c r="AA30" s="15">
        <v>1</v>
      </c>
      <c r="AB30" s="30">
        <f t="shared" si="0"/>
        <v>32.86</v>
      </c>
      <c r="AC30" s="15">
        <f t="shared" si="1"/>
        <v>9</v>
      </c>
    </row>
    <row r="31" s="3" customFormat="1" ht="25.5" customHeight="1" spans="1:29">
      <c r="A31" s="69" t="s">
        <v>38</v>
      </c>
      <c r="B31" s="14">
        <f>5+2.92</f>
        <v>7.92</v>
      </c>
      <c r="C31" s="15">
        <v>2</v>
      </c>
      <c r="D31" s="14">
        <v>7.6</v>
      </c>
      <c r="E31" s="15">
        <v>1</v>
      </c>
      <c r="F31" s="14">
        <v>4.26</v>
      </c>
      <c r="G31" s="15">
        <v>1</v>
      </c>
      <c r="H31" s="14">
        <v>0</v>
      </c>
      <c r="I31" s="15">
        <v>0</v>
      </c>
      <c r="J31" s="14">
        <v>0</v>
      </c>
      <c r="K31" s="15">
        <v>0</v>
      </c>
      <c r="L31" s="14">
        <v>0</v>
      </c>
      <c r="M31" s="15">
        <v>0</v>
      </c>
      <c r="N31" s="14">
        <v>6.4</v>
      </c>
      <c r="O31" s="15">
        <v>1</v>
      </c>
      <c r="P31" s="14">
        <v>5.74</v>
      </c>
      <c r="Q31" s="15">
        <v>1</v>
      </c>
      <c r="R31" s="14">
        <v>6.36</v>
      </c>
      <c r="S31" s="15">
        <v>1</v>
      </c>
      <c r="T31" s="14">
        <v>0</v>
      </c>
      <c r="U31" s="15">
        <v>0</v>
      </c>
      <c r="V31" s="14">
        <v>2.82</v>
      </c>
      <c r="W31" s="15">
        <v>1</v>
      </c>
      <c r="X31" s="14">
        <v>0</v>
      </c>
      <c r="Y31" s="15">
        <v>0</v>
      </c>
      <c r="Z31" s="14">
        <v>1.56</v>
      </c>
      <c r="AA31" s="15">
        <v>1</v>
      </c>
      <c r="AB31" s="30">
        <f t="shared" si="0"/>
        <v>42.66</v>
      </c>
      <c r="AC31" s="15">
        <f t="shared" si="1"/>
        <v>9</v>
      </c>
    </row>
    <row r="32" s="3" customFormat="1" ht="25.5" customHeight="1" spans="1:29">
      <c r="A32" s="69" t="s">
        <v>39</v>
      </c>
      <c r="B32" s="14">
        <f>6.08+4.02</f>
        <v>10.1</v>
      </c>
      <c r="C32" s="15">
        <v>2</v>
      </c>
      <c r="D32" s="14">
        <v>0</v>
      </c>
      <c r="E32" s="15">
        <v>0</v>
      </c>
      <c r="F32" s="14">
        <v>4.92</v>
      </c>
      <c r="G32" s="15">
        <v>1</v>
      </c>
      <c r="H32" s="14">
        <v>0</v>
      </c>
      <c r="I32" s="15">
        <v>0</v>
      </c>
      <c r="J32" s="14">
        <v>0</v>
      </c>
      <c r="K32" s="15">
        <v>0</v>
      </c>
      <c r="L32" s="14">
        <v>0</v>
      </c>
      <c r="M32" s="15">
        <v>0</v>
      </c>
      <c r="N32" s="14">
        <v>5.48</v>
      </c>
      <c r="O32" s="15">
        <v>1</v>
      </c>
      <c r="P32" s="14">
        <v>5.74</v>
      </c>
      <c r="Q32" s="15">
        <v>1</v>
      </c>
      <c r="R32" s="14">
        <v>6.58</v>
      </c>
      <c r="S32" s="15">
        <v>1</v>
      </c>
      <c r="T32" s="14">
        <v>0</v>
      </c>
      <c r="U32" s="15">
        <v>0</v>
      </c>
      <c r="V32" s="14">
        <v>0</v>
      </c>
      <c r="W32" s="15">
        <v>0</v>
      </c>
      <c r="X32" s="14">
        <v>5.36</v>
      </c>
      <c r="Y32" s="15">
        <v>1</v>
      </c>
      <c r="Z32" s="14">
        <v>1.56</v>
      </c>
      <c r="AA32" s="15">
        <v>1</v>
      </c>
      <c r="AB32" s="30">
        <f t="shared" si="0"/>
        <v>39.74</v>
      </c>
      <c r="AC32" s="15">
        <f t="shared" si="1"/>
        <v>8</v>
      </c>
    </row>
    <row r="33" s="3" customFormat="1" ht="25.5" customHeight="1" spans="1:29">
      <c r="A33" s="69" t="s">
        <v>40</v>
      </c>
      <c r="B33" s="14">
        <f>5.64+4.18</f>
        <v>9.82</v>
      </c>
      <c r="C33" s="15">
        <v>2</v>
      </c>
      <c r="D33" s="14">
        <v>6.62</v>
      </c>
      <c r="E33" s="15">
        <v>1</v>
      </c>
      <c r="F33" s="14">
        <v>0</v>
      </c>
      <c r="G33" s="15">
        <v>0</v>
      </c>
      <c r="H33" s="14">
        <v>0</v>
      </c>
      <c r="I33" s="15">
        <v>0</v>
      </c>
      <c r="J33" s="14">
        <v>0</v>
      </c>
      <c r="K33" s="15">
        <v>0</v>
      </c>
      <c r="L33" s="14">
        <v>0</v>
      </c>
      <c r="M33" s="15">
        <v>0</v>
      </c>
      <c r="N33" s="14">
        <v>4.78</v>
      </c>
      <c r="O33" s="15">
        <v>1</v>
      </c>
      <c r="P33" s="14">
        <v>5.44</v>
      </c>
      <c r="Q33" s="15">
        <v>1</v>
      </c>
      <c r="R33" s="14">
        <v>6.72</v>
      </c>
      <c r="S33" s="15">
        <v>1</v>
      </c>
      <c r="T33" s="14">
        <v>0</v>
      </c>
      <c r="U33" s="15">
        <v>0</v>
      </c>
      <c r="V33" s="14">
        <v>3.02</v>
      </c>
      <c r="W33" s="15">
        <v>1</v>
      </c>
      <c r="X33" s="14">
        <v>0</v>
      </c>
      <c r="Y33" s="15">
        <v>0</v>
      </c>
      <c r="Z33" s="14">
        <v>1.68</v>
      </c>
      <c r="AA33" s="15">
        <v>1</v>
      </c>
      <c r="AB33" s="30">
        <f t="shared" si="0"/>
        <v>38.08</v>
      </c>
      <c r="AC33" s="15">
        <f t="shared" si="1"/>
        <v>8</v>
      </c>
    </row>
    <row r="34" s="3" customFormat="1" ht="25.5" customHeight="1" spans="1:29">
      <c r="A34" s="69" t="s">
        <v>41</v>
      </c>
      <c r="B34" s="14">
        <v>5.88</v>
      </c>
      <c r="C34" s="15">
        <v>1</v>
      </c>
      <c r="D34" s="14">
        <v>4.9</v>
      </c>
      <c r="E34" s="15">
        <v>1</v>
      </c>
      <c r="F34" s="14">
        <v>4.9</v>
      </c>
      <c r="G34" s="15">
        <v>1</v>
      </c>
      <c r="H34" s="14">
        <v>0</v>
      </c>
      <c r="I34" s="15">
        <v>0</v>
      </c>
      <c r="J34" s="14">
        <v>0</v>
      </c>
      <c r="K34" s="15">
        <v>0</v>
      </c>
      <c r="L34" s="14">
        <v>0</v>
      </c>
      <c r="M34" s="15">
        <v>0</v>
      </c>
      <c r="N34" s="14">
        <v>5.36</v>
      </c>
      <c r="O34" s="15">
        <v>1</v>
      </c>
      <c r="P34" s="14">
        <v>0</v>
      </c>
      <c r="Q34" s="15">
        <v>0</v>
      </c>
      <c r="R34" s="14">
        <v>4.92</v>
      </c>
      <c r="S34" s="15">
        <v>1</v>
      </c>
      <c r="T34" s="14">
        <v>0</v>
      </c>
      <c r="U34" s="15">
        <v>0</v>
      </c>
      <c r="V34" s="14">
        <v>2.58</v>
      </c>
      <c r="W34" s="15">
        <v>1</v>
      </c>
      <c r="X34" s="14">
        <v>0</v>
      </c>
      <c r="Y34" s="15">
        <v>0</v>
      </c>
      <c r="Z34" s="14">
        <v>1.48</v>
      </c>
      <c r="AA34" s="15">
        <v>1</v>
      </c>
      <c r="AB34" s="30">
        <f t="shared" si="0"/>
        <v>30.02</v>
      </c>
      <c r="AC34" s="15">
        <f t="shared" si="1"/>
        <v>7</v>
      </c>
    </row>
    <row r="35" s="3" customFormat="1" ht="24" customHeight="1" spans="1:29">
      <c r="A35" s="69" t="s">
        <v>42</v>
      </c>
      <c r="B35" s="14">
        <f>5.84+3.2</f>
        <v>9.04</v>
      </c>
      <c r="C35" s="15">
        <v>2</v>
      </c>
      <c r="D35" s="14">
        <v>5.04</v>
      </c>
      <c r="E35" s="15">
        <v>1</v>
      </c>
      <c r="F35" s="14">
        <v>3.98</v>
      </c>
      <c r="G35" s="15">
        <v>1</v>
      </c>
      <c r="H35" s="14">
        <v>0</v>
      </c>
      <c r="I35" s="15">
        <v>0</v>
      </c>
      <c r="J35" s="14">
        <v>0</v>
      </c>
      <c r="K35" s="15">
        <v>0</v>
      </c>
      <c r="L35" s="14">
        <v>0</v>
      </c>
      <c r="M35" s="15">
        <v>0</v>
      </c>
      <c r="N35" s="14">
        <v>4.62</v>
      </c>
      <c r="O35" s="15">
        <v>1</v>
      </c>
      <c r="P35" s="14">
        <v>6.26</v>
      </c>
      <c r="Q35" s="15">
        <v>1</v>
      </c>
      <c r="R35" s="14">
        <v>6.02</v>
      </c>
      <c r="S35" s="15">
        <v>1</v>
      </c>
      <c r="T35" s="14">
        <v>0</v>
      </c>
      <c r="U35" s="15">
        <v>0</v>
      </c>
      <c r="V35" s="14">
        <v>2.5</v>
      </c>
      <c r="W35" s="15">
        <v>1</v>
      </c>
      <c r="X35" s="14">
        <v>0</v>
      </c>
      <c r="Y35" s="15">
        <v>0</v>
      </c>
      <c r="Z35" s="14">
        <v>1.52</v>
      </c>
      <c r="AA35" s="15">
        <v>1</v>
      </c>
      <c r="AB35" s="30">
        <f t="shared" si="0"/>
        <v>38.98</v>
      </c>
      <c r="AC35" s="15">
        <f t="shared" si="1"/>
        <v>9</v>
      </c>
    </row>
    <row r="36" s="3" customFormat="1" ht="25.5" customHeight="1" spans="1:33">
      <c r="A36" s="70" t="s">
        <v>9</v>
      </c>
      <c r="B36" s="30">
        <f t="shared" ref="B36:AC36" si="2">SUM(B5:B35)</f>
        <v>256.62</v>
      </c>
      <c r="C36" s="15">
        <f t="shared" si="2"/>
        <v>54</v>
      </c>
      <c r="D36" s="30">
        <f t="shared" si="2"/>
        <v>138.66</v>
      </c>
      <c r="E36" s="15">
        <f t="shared" si="2"/>
        <v>25</v>
      </c>
      <c r="F36" s="30">
        <f t="shared" si="2"/>
        <v>149.32</v>
      </c>
      <c r="G36" s="15">
        <f t="shared" si="2"/>
        <v>30</v>
      </c>
      <c r="H36" s="30">
        <f t="shared" si="2"/>
        <v>3.48</v>
      </c>
      <c r="I36" s="15">
        <f t="shared" si="2"/>
        <v>2</v>
      </c>
      <c r="J36" s="30">
        <f t="shared" si="2"/>
        <v>0</v>
      </c>
      <c r="K36" s="30">
        <f t="shared" si="2"/>
        <v>0</v>
      </c>
      <c r="L36" s="30">
        <f t="shared" si="2"/>
        <v>45.52</v>
      </c>
      <c r="M36" s="15">
        <f t="shared" si="2"/>
        <v>5</v>
      </c>
      <c r="N36" s="30">
        <f t="shared" si="2"/>
        <v>161.66</v>
      </c>
      <c r="O36" s="15">
        <f t="shared" si="2"/>
        <v>29</v>
      </c>
      <c r="P36" s="30">
        <f t="shared" si="2"/>
        <v>120.88</v>
      </c>
      <c r="Q36" s="15">
        <f t="shared" si="2"/>
        <v>23</v>
      </c>
      <c r="R36" s="30">
        <f t="shared" si="2"/>
        <v>189.1</v>
      </c>
      <c r="S36" s="15">
        <f t="shared" si="2"/>
        <v>31</v>
      </c>
      <c r="T36" s="30">
        <f t="shared" si="2"/>
        <v>0</v>
      </c>
      <c r="U36" s="30">
        <f t="shared" si="2"/>
        <v>0</v>
      </c>
      <c r="V36" s="30">
        <f t="shared" si="2"/>
        <v>99.24</v>
      </c>
      <c r="W36" s="15">
        <f t="shared" si="2"/>
        <v>34</v>
      </c>
      <c r="X36" s="30">
        <f t="shared" si="2"/>
        <v>41.24</v>
      </c>
      <c r="Y36" s="15">
        <f t="shared" si="2"/>
        <v>7</v>
      </c>
      <c r="Z36" s="30">
        <f t="shared" si="2"/>
        <v>27.2</v>
      </c>
      <c r="AA36" s="15">
        <f t="shared" si="2"/>
        <v>15</v>
      </c>
      <c r="AB36" s="30">
        <f t="shared" si="2"/>
        <v>1232.92</v>
      </c>
      <c r="AC36" s="15">
        <f t="shared" si="2"/>
        <v>255</v>
      </c>
      <c r="AE36" s="31"/>
      <c r="AG36" s="31"/>
    </row>
    <row r="37" s="3" customFormat="1" ht="7.5" hidden="1" customHeight="1" spans="1:33">
      <c r="A37" s="71"/>
      <c r="B37" s="72"/>
      <c r="C37" s="73"/>
      <c r="D37" s="74"/>
      <c r="E37" s="75"/>
      <c r="F37" s="74"/>
      <c r="G37" s="75"/>
      <c r="H37" s="74"/>
      <c r="I37" s="75"/>
      <c r="J37" s="74"/>
      <c r="K37" s="75"/>
      <c r="L37" s="74"/>
      <c r="M37" s="75"/>
      <c r="N37" s="74"/>
      <c r="O37" s="75"/>
      <c r="P37" s="74"/>
      <c r="Q37" s="75"/>
      <c r="R37" s="74"/>
      <c r="S37" s="75"/>
      <c r="T37" s="74"/>
      <c r="U37" s="75"/>
      <c r="V37" s="74"/>
      <c r="W37" s="75"/>
      <c r="X37" s="74"/>
      <c r="Y37" s="75"/>
      <c r="Z37" s="74"/>
      <c r="AA37" s="75"/>
      <c r="AB37" s="83"/>
      <c r="AC37" s="84"/>
      <c r="AE37" s="31"/>
      <c r="AG37" s="31"/>
    </row>
    <row r="38" s="4" customFormat="1" ht="26.25" customHeight="1" spans="1:31">
      <c r="A38" s="76" t="s">
        <v>61</v>
      </c>
      <c r="B38" s="77"/>
      <c r="C38" s="77"/>
      <c r="D38" s="78"/>
      <c r="E38" s="78"/>
      <c r="F38" s="78"/>
      <c r="G38" s="78"/>
      <c r="H38" s="78"/>
      <c r="I38" s="78"/>
      <c r="P38" s="61"/>
      <c r="Q38" s="61"/>
      <c r="R38" s="80"/>
      <c r="S38" s="80"/>
      <c r="T38" s="80"/>
      <c r="U38" s="80"/>
      <c r="V38" s="80"/>
      <c r="W38" s="80"/>
      <c r="X38" s="80"/>
      <c r="Y38" s="80"/>
      <c r="Z38" s="80"/>
      <c r="AA38" s="80"/>
      <c r="AC38" s="85"/>
      <c r="AE38" s="61"/>
    </row>
    <row r="39" s="1" customFormat="1" spans="1:9">
      <c r="A39" s="26"/>
      <c r="B39" s="26"/>
      <c r="C39" s="26"/>
      <c r="D39" s="26"/>
      <c r="E39" s="26"/>
      <c r="F39" s="26"/>
      <c r="G39" s="26"/>
      <c r="H39" s="26"/>
      <c r="I39" s="26"/>
    </row>
    <row r="40" s="1" customFormat="1" spans="1:31">
      <c r="A40" s="25"/>
      <c r="B40" s="25"/>
      <c r="C40" s="25"/>
      <c r="D40" s="25"/>
      <c r="E40" s="25"/>
      <c r="F40" s="25"/>
      <c r="G40" s="25"/>
      <c r="H40" s="25"/>
      <c r="I40" s="25"/>
      <c r="AB40" s="86"/>
      <c r="AC40" s="87"/>
      <c r="AE40" s="37"/>
    </row>
    <row r="41" s="1" customFormat="1" spans="1:32">
      <c r="A41" s="26"/>
      <c r="B41" s="26"/>
      <c r="C41" s="26"/>
      <c r="D41" s="26"/>
      <c r="E41" s="26"/>
      <c r="F41" s="79"/>
      <c r="G41" s="79"/>
      <c r="H41" s="26"/>
      <c r="I41" s="26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E41" s="37"/>
      <c r="AF41" s="37"/>
    </row>
    <row r="42" s="1" customFormat="1" spans="1:29">
      <c r="A42" s="26"/>
      <c r="B42" s="26"/>
      <c r="C42" s="26"/>
      <c r="D42" s="26"/>
      <c r="E42" s="26"/>
      <c r="F42" s="26"/>
      <c r="G42" s="26"/>
      <c r="H42" s="26"/>
      <c r="I42" s="26"/>
      <c r="J42" s="37"/>
      <c r="AB42" s="38"/>
      <c r="AC42" s="38"/>
    </row>
    <row r="43" s="1" customFormat="1" spans="1:9">
      <c r="A43" s="26"/>
      <c r="B43" s="26"/>
      <c r="C43" s="26"/>
      <c r="D43" s="26"/>
      <c r="E43" s="26"/>
      <c r="F43" s="26"/>
      <c r="G43" s="26"/>
      <c r="H43" s="26"/>
      <c r="I43" s="26"/>
    </row>
    <row r="44" s="1" customFormat="1" spans="28:29">
      <c r="AB44" s="88"/>
      <c r="AC44" s="89"/>
    </row>
    <row r="46" spans="28:29">
      <c r="AB46" s="90"/>
      <c r="AC46" s="91"/>
    </row>
    <row r="48" spans="28:29">
      <c r="AB48" s="92"/>
      <c r="AC48" s="93"/>
    </row>
  </sheetData>
  <mergeCells count="18">
    <mergeCell ref="A1:AC1"/>
    <mergeCell ref="D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40:D40"/>
    <mergeCell ref="A3:A4"/>
  </mergeCells>
  <pageMargins left="0.4" right="0.22" top="0.22" bottom="0.2" header="0.22" footer="0.2"/>
  <pageSetup paperSize="9" scale="55" orientation="landscape" horizontalDpi="600" verticalDpi="600"/>
  <headerFooter alignWithMargins="0" scaleWithDoc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O41"/>
  <sheetViews>
    <sheetView zoomScaleSheetLayoutView="60" workbookViewId="0">
      <pane xSplit="1" ySplit="4" topLeftCell="B23" activePane="bottomRight" state="frozen"/>
      <selection/>
      <selection pane="topRight"/>
      <selection pane="bottomLeft"/>
      <selection pane="bottomRight" activeCell="J28" sqref="J28"/>
    </sheetView>
  </sheetViews>
  <sheetFormatPr defaultColWidth="9" defaultRowHeight="14.25"/>
  <cols>
    <col min="1" max="1" width="5.375" style="1" customWidth="1"/>
    <col min="2" max="2" width="11.125" style="1" customWidth="1"/>
    <col min="3" max="3" width="6" style="1" customWidth="1"/>
    <col min="4" max="4" width="11.375" style="1" customWidth="1"/>
    <col min="5" max="5" width="6.625" style="1" customWidth="1"/>
    <col min="6" max="6" width="11.125" style="1" customWidth="1"/>
    <col min="7" max="7" width="6.25" style="1" customWidth="1"/>
    <col min="8" max="8" width="11.375" style="1" customWidth="1"/>
    <col min="9" max="9" width="6.5" style="1" customWidth="1"/>
    <col min="10" max="10" width="13.75" style="1" customWidth="1"/>
    <col min="11" max="11" width="7.375" style="1" customWidth="1"/>
    <col min="12" max="12" width="9" style="1"/>
    <col min="13" max="13" width="16.125" style="1"/>
    <col min="14" max="14" width="32.75" style="1" customWidth="1"/>
    <col min="15" max="15" width="11.625" style="1"/>
    <col min="16" max="16384" width="9" style="1"/>
  </cols>
  <sheetData>
    <row r="1" s="1" customFormat="1" ht="35.2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30" customHeight="1" spans="1:11">
      <c r="A2" s="6">
        <v>1000</v>
      </c>
      <c r="B2" s="6"/>
      <c r="C2" s="6"/>
      <c r="D2" s="58" t="s">
        <v>1</v>
      </c>
      <c r="E2" s="58"/>
      <c r="F2" s="58"/>
      <c r="G2" s="58"/>
      <c r="H2" s="58"/>
      <c r="I2" s="58"/>
      <c r="J2" s="58"/>
      <c r="K2" s="58"/>
    </row>
    <row r="3" s="2" customFormat="1" ht="37.5" customHeight="1" spans="1:11">
      <c r="A3" s="8" t="s">
        <v>2</v>
      </c>
      <c r="B3" s="9" t="s">
        <v>62</v>
      </c>
      <c r="C3" s="10"/>
      <c r="D3" s="9" t="s">
        <v>63</v>
      </c>
      <c r="E3" s="10"/>
      <c r="F3" s="9" t="s">
        <v>64</v>
      </c>
      <c r="G3" s="10"/>
      <c r="H3" s="9" t="s">
        <v>65</v>
      </c>
      <c r="I3" s="10"/>
      <c r="J3" s="28" t="s">
        <v>9</v>
      </c>
      <c r="K3" s="29"/>
    </row>
    <row r="4" s="2" customFormat="1" ht="24.75" customHeight="1" spans="1:11">
      <c r="A4" s="11"/>
      <c r="B4" s="11" t="s">
        <v>10</v>
      </c>
      <c r="C4" s="11" t="s">
        <v>11</v>
      </c>
      <c r="D4" s="11" t="s">
        <v>10</v>
      </c>
      <c r="E4" s="11" t="s">
        <v>11</v>
      </c>
      <c r="F4" s="12" t="s">
        <v>10</v>
      </c>
      <c r="G4" s="12" t="s">
        <v>11</v>
      </c>
      <c r="H4" s="12" t="s">
        <v>10</v>
      </c>
      <c r="I4" s="12" t="s">
        <v>11</v>
      </c>
      <c r="J4" s="12" t="s">
        <v>10</v>
      </c>
      <c r="K4" s="12" t="s">
        <v>11</v>
      </c>
    </row>
    <row r="5" s="3" customFormat="1" ht="22.5" customHeight="1" spans="1:11">
      <c r="A5" s="13" t="s">
        <v>12</v>
      </c>
      <c r="B5" s="14">
        <f>5.3+5.52</f>
        <v>10.82</v>
      </c>
      <c r="C5" s="15">
        <v>2</v>
      </c>
      <c r="D5" s="14">
        <v>0</v>
      </c>
      <c r="E5" s="15">
        <v>0</v>
      </c>
      <c r="F5" s="14">
        <f>6.14+6.64</f>
        <v>12.78</v>
      </c>
      <c r="G5" s="15">
        <v>2</v>
      </c>
      <c r="H5" s="14">
        <f>8.16+7.02+11.36</f>
        <v>26.54</v>
      </c>
      <c r="I5" s="15">
        <v>3</v>
      </c>
      <c r="J5" s="30">
        <f t="shared" ref="J5:J34" si="0">+B5+D5+F5+H5</f>
        <v>50.14</v>
      </c>
      <c r="K5" s="49">
        <f t="shared" ref="K5:K34" si="1">+C5+E5+G5+I5</f>
        <v>7</v>
      </c>
    </row>
    <row r="6" s="3" customFormat="1" ht="22.5" customHeight="1" spans="1:15">
      <c r="A6" s="13" t="s">
        <v>13</v>
      </c>
      <c r="B6" s="14">
        <v>0</v>
      </c>
      <c r="C6" s="15">
        <v>0</v>
      </c>
      <c r="D6" s="14">
        <v>3.98</v>
      </c>
      <c r="E6" s="15">
        <v>1</v>
      </c>
      <c r="F6" s="14">
        <f>6.48+6.26</f>
        <v>12.74</v>
      </c>
      <c r="G6" s="15">
        <v>2</v>
      </c>
      <c r="H6" s="14">
        <f>7.88+9.98+7.32+7.3+9.74</f>
        <v>42.22</v>
      </c>
      <c r="I6" s="15">
        <v>5</v>
      </c>
      <c r="J6" s="30">
        <f t="shared" si="0"/>
        <v>58.94</v>
      </c>
      <c r="K6" s="49">
        <f t="shared" si="1"/>
        <v>8</v>
      </c>
      <c r="N6" s="39"/>
      <c r="O6" s="39"/>
    </row>
    <row r="7" s="3" customFormat="1" ht="22.5" customHeight="1" spans="1:15">
      <c r="A7" s="13" t="s">
        <v>14</v>
      </c>
      <c r="B7" s="14">
        <f>6.7+5.84</f>
        <v>12.54</v>
      </c>
      <c r="C7" s="15">
        <v>2</v>
      </c>
      <c r="D7" s="14">
        <v>3.74</v>
      </c>
      <c r="E7" s="15">
        <v>1</v>
      </c>
      <c r="F7" s="14">
        <f>6.48+6.2</f>
        <v>12.68</v>
      </c>
      <c r="G7" s="15">
        <v>2</v>
      </c>
      <c r="H7" s="14">
        <f>8.5+7.78+7.92</f>
        <v>24.2</v>
      </c>
      <c r="I7" s="15">
        <v>3</v>
      </c>
      <c r="J7" s="30">
        <f t="shared" si="0"/>
        <v>53.16</v>
      </c>
      <c r="K7" s="49">
        <f t="shared" si="1"/>
        <v>8</v>
      </c>
      <c r="N7" s="39"/>
      <c r="O7" s="39"/>
    </row>
    <row r="8" s="3" customFormat="1" ht="22.5" customHeight="1" spans="1:15">
      <c r="A8" s="13" t="s">
        <v>15</v>
      </c>
      <c r="B8" s="14">
        <v>0</v>
      </c>
      <c r="C8" s="15">
        <v>0</v>
      </c>
      <c r="D8" s="14">
        <v>0</v>
      </c>
      <c r="E8" s="15">
        <v>0</v>
      </c>
      <c r="F8" s="14">
        <f>6.38+6</f>
        <v>12.38</v>
      </c>
      <c r="G8" s="15">
        <v>2</v>
      </c>
      <c r="H8" s="14">
        <f>6.48+7.5+8+7.64</f>
        <v>29.62</v>
      </c>
      <c r="I8" s="15">
        <v>4</v>
      </c>
      <c r="J8" s="30">
        <f t="shared" si="0"/>
        <v>42</v>
      </c>
      <c r="K8" s="49">
        <f t="shared" si="1"/>
        <v>6</v>
      </c>
      <c r="N8" s="39"/>
      <c r="O8" s="39"/>
    </row>
    <row r="9" s="3" customFormat="1" ht="22.5" customHeight="1" spans="1:15">
      <c r="A9" s="13" t="s">
        <v>16</v>
      </c>
      <c r="B9" s="14">
        <f>7.1+6.32</f>
        <v>13.42</v>
      </c>
      <c r="C9" s="15">
        <v>2</v>
      </c>
      <c r="D9" s="14">
        <f>4.2+4.02</f>
        <v>8.22</v>
      </c>
      <c r="E9" s="15">
        <v>2</v>
      </c>
      <c r="F9" s="14">
        <f>7.26+6.48</f>
        <v>13.74</v>
      </c>
      <c r="G9" s="15">
        <v>2</v>
      </c>
      <c r="H9" s="14">
        <f>7.24+7.34+7.78+9.9</f>
        <v>32.26</v>
      </c>
      <c r="I9" s="15">
        <v>4</v>
      </c>
      <c r="J9" s="30">
        <f t="shared" si="0"/>
        <v>67.64</v>
      </c>
      <c r="K9" s="49">
        <f t="shared" si="1"/>
        <v>10</v>
      </c>
      <c r="N9" s="39"/>
      <c r="O9" s="39"/>
    </row>
    <row r="10" s="3" customFormat="1" ht="22.5" customHeight="1" spans="1:15">
      <c r="A10" s="13" t="s">
        <v>17</v>
      </c>
      <c r="B10" s="14">
        <v>5.02</v>
      </c>
      <c r="C10" s="15">
        <v>1</v>
      </c>
      <c r="D10" s="14">
        <v>0</v>
      </c>
      <c r="E10" s="15">
        <v>0</v>
      </c>
      <c r="F10" s="14">
        <f>6.1+6.44</f>
        <v>12.54</v>
      </c>
      <c r="G10" s="15">
        <v>2</v>
      </c>
      <c r="H10" s="14">
        <f>7.54+8.04+7+9.78</f>
        <v>32.36</v>
      </c>
      <c r="I10" s="15">
        <v>4</v>
      </c>
      <c r="J10" s="30">
        <f t="shared" si="0"/>
        <v>49.92</v>
      </c>
      <c r="K10" s="49">
        <f t="shared" si="1"/>
        <v>7</v>
      </c>
      <c r="N10" s="39"/>
      <c r="O10" s="39"/>
    </row>
    <row r="11" s="3" customFormat="1" ht="22.5" customHeight="1" spans="1:15">
      <c r="A11" s="13" t="s">
        <v>18</v>
      </c>
      <c r="B11" s="14">
        <v>0</v>
      </c>
      <c r="C11" s="15">
        <v>0</v>
      </c>
      <c r="D11" s="14">
        <f>2.94+2.58</f>
        <v>5.52</v>
      </c>
      <c r="E11" s="15">
        <v>2</v>
      </c>
      <c r="F11" s="14">
        <f>7+6.2</f>
        <v>13.2</v>
      </c>
      <c r="G11" s="15">
        <v>2</v>
      </c>
      <c r="H11" s="14">
        <f>6.98+8.12+6.38+9.84</f>
        <v>31.32</v>
      </c>
      <c r="I11" s="15">
        <v>4</v>
      </c>
      <c r="J11" s="30">
        <f t="shared" si="0"/>
        <v>50.04</v>
      </c>
      <c r="K11" s="49">
        <f t="shared" si="1"/>
        <v>8</v>
      </c>
      <c r="N11" s="39"/>
      <c r="O11" s="39"/>
    </row>
    <row r="12" s="3" customFormat="1" ht="22.5" customHeight="1" spans="1:15">
      <c r="A12" s="13" t="s">
        <v>19</v>
      </c>
      <c r="B12" s="14">
        <f>6.58+4.92</f>
        <v>11.5</v>
      </c>
      <c r="C12" s="15">
        <v>2</v>
      </c>
      <c r="D12" s="14">
        <v>0</v>
      </c>
      <c r="E12" s="15">
        <v>0</v>
      </c>
      <c r="F12" s="14">
        <f>6.48+6.04</f>
        <v>12.52</v>
      </c>
      <c r="G12" s="15">
        <v>2</v>
      </c>
      <c r="H12" s="14">
        <f>7.44+8.48+6.84+7.06</f>
        <v>29.82</v>
      </c>
      <c r="I12" s="15">
        <v>4</v>
      </c>
      <c r="J12" s="30">
        <f t="shared" si="0"/>
        <v>53.84</v>
      </c>
      <c r="K12" s="49">
        <f t="shared" si="1"/>
        <v>8</v>
      </c>
      <c r="N12" s="39"/>
      <c r="O12" s="39"/>
    </row>
    <row r="13" s="3" customFormat="1" ht="22.5" customHeight="1" spans="1:15">
      <c r="A13" s="13" t="s">
        <v>20</v>
      </c>
      <c r="B13" s="14">
        <v>0</v>
      </c>
      <c r="C13" s="15">
        <v>0</v>
      </c>
      <c r="D13" s="14">
        <f>3.54+3.58</f>
        <v>7.12</v>
      </c>
      <c r="E13" s="15">
        <v>2</v>
      </c>
      <c r="F13" s="14">
        <f>6.38+6.44</f>
        <v>12.82</v>
      </c>
      <c r="G13" s="15">
        <v>2</v>
      </c>
      <c r="H13" s="14">
        <f>7.36+7.98+6.28+9.78</f>
        <v>31.4</v>
      </c>
      <c r="I13" s="15">
        <v>4</v>
      </c>
      <c r="J13" s="30">
        <f t="shared" si="0"/>
        <v>51.34</v>
      </c>
      <c r="K13" s="49">
        <f t="shared" si="1"/>
        <v>8</v>
      </c>
      <c r="N13" s="39"/>
      <c r="O13" s="39"/>
    </row>
    <row r="14" s="3" customFormat="1" ht="22.5" customHeight="1" spans="1:15">
      <c r="A14" s="13" t="s">
        <v>21</v>
      </c>
      <c r="B14" s="14">
        <f>6.06+5.68</f>
        <v>11.74</v>
      </c>
      <c r="C14" s="15">
        <v>2</v>
      </c>
      <c r="D14" s="14">
        <v>3.96</v>
      </c>
      <c r="E14" s="15">
        <v>1</v>
      </c>
      <c r="F14" s="14">
        <f>7.16+6.3</f>
        <v>13.46</v>
      </c>
      <c r="G14" s="15">
        <v>2</v>
      </c>
      <c r="H14" s="14">
        <f>6.6+6.58+8+7.8</f>
        <v>28.98</v>
      </c>
      <c r="I14" s="15">
        <v>4</v>
      </c>
      <c r="J14" s="30">
        <f t="shared" si="0"/>
        <v>58.14</v>
      </c>
      <c r="K14" s="49">
        <f t="shared" si="1"/>
        <v>9</v>
      </c>
      <c r="N14" s="39"/>
      <c r="O14" s="39"/>
    </row>
    <row r="15" s="3" customFormat="1" ht="22.5" customHeight="1" spans="1:15">
      <c r="A15" s="13" t="s">
        <v>22</v>
      </c>
      <c r="B15" s="14">
        <v>0</v>
      </c>
      <c r="C15" s="15">
        <v>0</v>
      </c>
      <c r="D15" s="14">
        <v>4.4</v>
      </c>
      <c r="E15" s="15">
        <v>1</v>
      </c>
      <c r="F15" s="14">
        <f>6.54+6.42</f>
        <v>12.96</v>
      </c>
      <c r="G15" s="15">
        <v>2</v>
      </c>
      <c r="H15" s="14">
        <f>7.6+7.42+6.6+9.64</f>
        <v>31.26</v>
      </c>
      <c r="I15" s="15">
        <v>4</v>
      </c>
      <c r="J15" s="30">
        <f t="shared" si="0"/>
        <v>48.62</v>
      </c>
      <c r="K15" s="49">
        <f t="shared" si="1"/>
        <v>7</v>
      </c>
      <c r="N15" s="39"/>
      <c r="O15" s="39"/>
    </row>
    <row r="16" s="3" customFormat="1" ht="22.5" customHeight="1" spans="1:15">
      <c r="A16" s="13" t="s">
        <v>23</v>
      </c>
      <c r="B16" s="14">
        <v>6.48</v>
      </c>
      <c r="C16" s="15">
        <v>1</v>
      </c>
      <c r="D16" s="14">
        <v>4.12</v>
      </c>
      <c r="E16" s="15">
        <v>1</v>
      </c>
      <c r="F16" s="14">
        <f>7.16+6.4</f>
        <v>13.56</v>
      </c>
      <c r="G16" s="15">
        <v>2</v>
      </c>
      <c r="H16" s="14">
        <f>7.38+7.88+7.5+8.6</f>
        <v>31.36</v>
      </c>
      <c r="I16" s="15">
        <v>4</v>
      </c>
      <c r="J16" s="30">
        <f t="shared" si="0"/>
        <v>55.52</v>
      </c>
      <c r="K16" s="49">
        <f t="shared" si="1"/>
        <v>8</v>
      </c>
      <c r="N16" s="39"/>
      <c r="O16" s="39"/>
    </row>
    <row r="17" s="3" customFormat="1" ht="22.5" customHeight="1" spans="1:15">
      <c r="A17" s="13" t="s">
        <v>24</v>
      </c>
      <c r="B17" s="14">
        <f>6.64+7.24</f>
        <v>13.88</v>
      </c>
      <c r="C17" s="15">
        <v>2</v>
      </c>
      <c r="D17" s="14">
        <v>0</v>
      </c>
      <c r="E17" s="15">
        <v>0</v>
      </c>
      <c r="F17" s="14">
        <f>7.2+6.5</f>
        <v>13.7</v>
      </c>
      <c r="G17" s="15">
        <v>2</v>
      </c>
      <c r="H17" s="14">
        <f>7.52+8.16+6.84+11.72</f>
        <v>34.24</v>
      </c>
      <c r="I17" s="15">
        <v>4</v>
      </c>
      <c r="J17" s="30">
        <f t="shared" si="0"/>
        <v>61.82</v>
      </c>
      <c r="K17" s="49">
        <f t="shared" si="1"/>
        <v>8</v>
      </c>
      <c r="N17" s="39"/>
      <c r="O17" s="39"/>
    </row>
    <row r="18" s="3" customFormat="1" ht="22.5" customHeight="1" spans="1:15">
      <c r="A18" s="13" t="s">
        <v>25</v>
      </c>
      <c r="B18" s="14">
        <v>0</v>
      </c>
      <c r="C18" s="15">
        <v>0</v>
      </c>
      <c r="D18" s="14">
        <f>3.18+2.14</f>
        <v>5.32</v>
      </c>
      <c r="E18" s="15">
        <v>2</v>
      </c>
      <c r="F18" s="14">
        <f>7.6+6</f>
        <v>13.6</v>
      </c>
      <c r="G18" s="15">
        <v>2</v>
      </c>
      <c r="H18" s="14">
        <f>7.24+9.32+7.38+8.42</f>
        <v>32.36</v>
      </c>
      <c r="I18" s="15">
        <v>4</v>
      </c>
      <c r="J18" s="30">
        <f t="shared" si="0"/>
        <v>51.28</v>
      </c>
      <c r="K18" s="49">
        <f t="shared" si="1"/>
        <v>8</v>
      </c>
      <c r="N18" s="39"/>
      <c r="O18" s="39"/>
    </row>
    <row r="19" s="3" customFormat="1" ht="22.5" customHeight="1" spans="1:15">
      <c r="A19" s="13" t="s">
        <v>26</v>
      </c>
      <c r="B19" s="14">
        <v>0</v>
      </c>
      <c r="C19" s="15">
        <v>0</v>
      </c>
      <c r="D19" s="14">
        <v>2.42</v>
      </c>
      <c r="E19" s="15">
        <v>1</v>
      </c>
      <c r="F19" s="14">
        <f>7.16+6.28</f>
        <v>13.44</v>
      </c>
      <c r="G19" s="15">
        <v>2</v>
      </c>
      <c r="H19" s="14">
        <f>7.44+8+6.76+8.36</f>
        <v>30.56</v>
      </c>
      <c r="I19" s="15">
        <v>4</v>
      </c>
      <c r="J19" s="30">
        <f t="shared" si="0"/>
        <v>46.42</v>
      </c>
      <c r="K19" s="49">
        <f t="shared" si="1"/>
        <v>7</v>
      </c>
      <c r="N19" s="39"/>
      <c r="O19" s="39"/>
    </row>
    <row r="20" s="3" customFormat="1" ht="22.5" customHeight="1" spans="1:15">
      <c r="A20" s="13" t="s">
        <v>27</v>
      </c>
      <c r="B20" s="14">
        <v>6.08</v>
      </c>
      <c r="C20" s="15">
        <v>1</v>
      </c>
      <c r="D20" s="14">
        <v>3.76</v>
      </c>
      <c r="E20" s="15">
        <v>1</v>
      </c>
      <c r="F20" s="14">
        <f>6.02+6.5</f>
        <v>12.52</v>
      </c>
      <c r="G20" s="15">
        <v>2</v>
      </c>
      <c r="H20" s="14">
        <f>7.04+8.02+7.98+8.14</f>
        <v>31.18</v>
      </c>
      <c r="I20" s="15">
        <v>4</v>
      </c>
      <c r="J20" s="30">
        <f t="shared" si="0"/>
        <v>53.54</v>
      </c>
      <c r="K20" s="49">
        <f t="shared" si="1"/>
        <v>8</v>
      </c>
      <c r="N20" s="39"/>
      <c r="O20" s="39"/>
    </row>
    <row r="21" s="3" customFormat="1" ht="22.5" customHeight="1" spans="1:15">
      <c r="A21" s="13" t="s">
        <v>28</v>
      </c>
      <c r="B21" s="14">
        <v>0</v>
      </c>
      <c r="C21" s="15">
        <v>0</v>
      </c>
      <c r="D21" s="14">
        <v>0</v>
      </c>
      <c r="E21" s="15">
        <v>0</v>
      </c>
      <c r="F21" s="14">
        <f>6.62+6.16</f>
        <v>12.78</v>
      </c>
      <c r="G21" s="15">
        <v>2</v>
      </c>
      <c r="H21" s="14">
        <f>7.2+8.04+7.94+9.68</f>
        <v>32.86</v>
      </c>
      <c r="I21" s="15">
        <v>4</v>
      </c>
      <c r="J21" s="30">
        <f t="shared" si="0"/>
        <v>45.64</v>
      </c>
      <c r="K21" s="49">
        <f t="shared" si="1"/>
        <v>6</v>
      </c>
      <c r="N21" s="39"/>
      <c r="O21" s="39"/>
    </row>
    <row r="22" s="3" customFormat="1" ht="22.5" customHeight="1" spans="1:15">
      <c r="A22" s="13" t="s">
        <v>29</v>
      </c>
      <c r="B22" s="14">
        <v>7.6</v>
      </c>
      <c r="C22" s="15">
        <v>1</v>
      </c>
      <c r="D22" s="14">
        <f>3.24+3.12</f>
        <v>6.36</v>
      </c>
      <c r="E22" s="15">
        <v>2</v>
      </c>
      <c r="F22" s="14">
        <f>6.28+5.76</f>
        <v>12.04</v>
      </c>
      <c r="G22" s="15">
        <v>2</v>
      </c>
      <c r="H22" s="14">
        <f>7.4+8.22+7.76+7.64</f>
        <v>31.02</v>
      </c>
      <c r="I22" s="15">
        <v>4</v>
      </c>
      <c r="J22" s="30">
        <f t="shared" si="0"/>
        <v>57.02</v>
      </c>
      <c r="K22" s="49">
        <f t="shared" si="1"/>
        <v>9</v>
      </c>
      <c r="N22" s="39"/>
      <c r="O22" s="39"/>
    </row>
    <row r="23" s="3" customFormat="1" ht="22.5" customHeight="1" spans="1:15">
      <c r="A23" s="13" t="s">
        <v>30</v>
      </c>
      <c r="B23" s="14">
        <v>0</v>
      </c>
      <c r="C23" s="15">
        <v>0</v>
      </c>
      <c r="D23" s="14">
        <v>0</v>
      </c>
      <c r="E23" s="15">
        <v>0</v>
      </c>
      <c r="F23" s="14">
        <f>6.46+5.76</f>
        <v>12.22</v>
      </c>
      <c r="G23" s="15">
        <v>2</v>
      </c>
      <c r="H23" s="14">
        <f>7.38+8.1+7.66+9.58</f>
        <v>32.72</v>
      </c>
      <c r="I23" s="15">
        <v>4</v>
      </c>
      <c r="J23" s="30">
        <f t="shared" si="0"/>
        <v>44.94</v>
      </c>
      <c r="K23" s="49">
        <f t="shared" si="1"/>
        <v>6</v>
      </c>
      <c r="N23" s="39"/>
      <c r="O23" s="39"/>
    </row>
    <row r="24" s="3" customFormat="1" ht="22.5" customHeight="1" spans="1:15">
      <c r="A24" s="13" t="s">
        <v>31</v>
      </c>
      <c r="B24" s="14">
        <v>0</v>
      </c>
      <c r="C24" s="15">
        <v>0</v>
      </c>
      <c r="D24" s="14">
        <f>2.54+2</f>
        <v>4.54</v>
      </c>
      <c r="E24" s="15">
        <v>2</v>
      </c>
      <c r="F24" s="14">
        <f>6.7+6.16</f>
        <v>12.86</v>
      </c>
      <c r="G24" s="15">
        <v>2</v>
      </c>
      <c r="H24" s="14">
        <f>7.16+8.9+7.62+8.3</f>
        <v>31.98</v>
      </c>
      <c r="I24" s="15">
        <v>4</v>
      </c>
      <c r="J24" s="30">
        <f t="shared" si="0"/>
        <v>49.38</v>
      </c>
      <c r="K24" s="49">
        <f t="shared" si="1"/>
        <v>8</v>
      </c>
      <c r="N24" s="39"/>
      <c r="O24" s="39"/>
    </row>
    <row r="25" s="3" customFormat="1" ht="22.5" customHeight="1" spans="1:15">
      <c r="A25" s="13" t="s">
        <v>32</v>
      </c>
      <c r="B25" s="14">
        <f>5.5+5.36</f>
        <v>10.86</v>
      </c>
      <c r="C25" s="15">
        <v>2</v>
      </c>
      <c r="D25" s="14">
        <v>2.2</v>
      </c>
      <c r="E25" s="15">
        <v>1</v>
      </c>
      <c r="F25" s="14">
        <f>6.3+5.88</f>
        <v>12.18</v>
      </c>
      <c r="G25" s="15">
        <v>2</v>
      </c>
      <c r="H25" s="14">
        <f>6.84+8.24+7.68+9.32</f>
        <v>32.08</v>
      </c>
      <c r="I25" s="15">
        <v>4</v>
      </c>
      <c r="J25" s="30">
        <f t="shared" si="0"/>
        <v>57.32</v>
      </c>
      <c r="K25" s="49">
        <f t="shared" si="1"/>
        <v>9</v>
      </c>
      <c r="N25" s="39"/>
      <c r="O25" s="39"/>
    </row>
    <row r="26" s="3" customFormat="1" ht="22.5" customHeight="1" spans="1:15">
      <c r="A26" s="13" t="s">
        <v>33</v>
      </c>
      <c r="B26" s="14">
        <v>0</v>
      </c>
      <c r="C26" s="15">
        <v>0</v>
      </c>
      <c r="D26" s="14">
        <v>1.52</v>
      </c>
      <c r="E26" s="15">
        <v>1</v>
      </c>
      <c r="F26" s="14">
        <f>4.2+4.58+3.8</f>
        <v>12.58</v>
      </c>
      <c r="G26" s="15">
        <v>3</v>
      </c>
      <c r="H26" s="14">
        <f>7.74+5.82+7.08</f>
        <v>20.64</v>
      </c>
      <c r="I26" s="15">
        <v>3</v>
      </c>
      <c r="J26" s="30">
        <f t="shared" si="0"/>
        <v>34.74</v>
      </c>
      <c r="K26" s="49">
        <f t="shared" si="1"/>
        <v>7</v>
      </c>
      <c r="N26" s="39"/>
      <c r="O26" s="39"/>
    </row>
    <row r="27" s="3" customFormat="1" ht="22.5" customHeight="1" spans="1:15">
      <c r="A27" s="13" t="s">
        <v>34</v>
      </c>
      <c r="B27" s="14">
        <v>0</v>
      </c>
      <c r="C27" s="15">
        <v>0</v>
      </c>
      <c r="D27" s="14">
        <v>0</v>
      </c>
      <c r="E27" s="15">
        <v>0</v>
      </c>
      <c r="F27" s="14">
        <f>5.56+4.46</f>
        <v>10.02</v>
      </c>
      <c r="G27" s="15">
        <v>2</v>
      </c>
      <c r="H27" s="14">
        <f>6.6+7.54+9.22</f>
        <v>23.36</v>
      </c>
      <c r="I27" s="15">
        <v>3</v>
      </c>
      <c r="J27" s="30">
        <f t="shared" si="0"/>
        <v>33.38</v>
      </c>
      <c r="K27" s="49">
        <f t="shared" si="1"/>
        <v>5</v>
      </c>
      <c r="N27" s="39"/>
      <c r="O27" s="39"/>
    </row>
    <row r="28" s="3" customFormat="1" ht="22.5" customHeight="1" spans="1:11">
      <c r="A28" s="13" t="s">
        <v>35</v>
      </c>
      <c r="B28" s="14">
        <v>0</v>
      </c>
      <c r="C28" s="15">
        <v>0</v>
      </c>
      <c r="D28" s="14">
        <f>2.22+2.5</f>
        <v>4.72</v>
      </c>
      <c r="E28" s="15">
        <v>2</v>
      </c>
      <c r="F28" s="14">
        <f>6.64+5.86</f>
        <v>12.5</v>
      </c>
      <c r="G28" s="15">
        <v>2</v>
      </c>
      <c r="H28" s="14">
        <f>7.86+7.8+7.08</f>
        <v>22.74</v>
      </c>
      <c r="I28" s="15">
        <v>3</v>
      </c>
      <c r="J28" s="30">
        <f t="shared" si="0"/>
        <v>39.96</v>
      </c>
      <c r="K28" s="49">
        <f t="shared" si="1"/>
        <v>7</v>
      </c>
    </row>
    <row r="29" s="3" customFormat="1" ht="22.5" customHeight="1" spans="1:11">
      <c r="A29" s="13" t="s">
        <v>36</v>
      </c>
      <c r="B29" s="14">
        <f>6.6+5.74</f>
        <v>12.34</v>
      </c>
      <c r="C29" s="15">
        <v>2</v>
      </c>
      <c r="D29" s="14">
        <v>2.54</v>
      </c>
      <c r="E29" s="15">
        <v>1</v>
      </c>
      <c r="F29" s="14">
        <f>6.42+6.3</f>
        <v>12.72</v>
      </c>
      <c r="G29" s="15">
        <v>2</v>
      </c>
      <c r="H29" s="14">
        <f>8.2+7.46+9.16</f>
        <v>24.82</v>
      </c>
      <c r="I29" s="15">
        <v>3</v>
      </c>
      <c r="J29" s="30">
        <f t="shared" si="0"/>
        <v>52.42</v>
      </c>
      <c r="K29" s="49">
        <f t="shared" si="1"/>
        <v>8</v>
      </c>
    </row>
    <row r="30" s="3" customFormat="1" ht="22.5" customHeight="1" spans="1:11">
      <c r="A30" s="13" t="s">
        <v>37</v>
      </c>
      <c r="B30" s="14">
        <v>0</v>
      </c>
      <c r="C30" s="15">
        <v>0</v>
      </c>
      <c r="D30" s="14">
        <v>0</v>
      </c>
      <c r="E30" s="15">
        <v>0</v>
      </c>
      <c r="F30" s="14">
        <f>6.76+6.02</f>
        <v>12.78</v>
      </c>
      <c r="G30" s="15">
        <v>2</v>
      </c>
      <c r="H30" s="14">
        <f>7.44+7.64+8.38</f>
        <v>23.46</v>
      </c>
      <c r="I30" s="15">
        <v>3</v>
      </c>
      <c r="J30" s="30">
        <f t="shared" si="0"/>
        <v>36.24</v>
      </c>
      <c r="K30" s="49">
        <f t="shared" si="1"/>
        <v>5</v>
      </c>
    </row>
    <row r="31" s="3" customFormat="1" ht="22.5" customHeight="1" spans="1:11">
      <c r="A31" s="13" t="s">
        <v>38</v>
      </c>
      <c r="B31" s="14">
        <v>0</v>
      </c>
      <c r="C31" s="15">
        <v>0</v>
      </c>
      <c r="D31" s="14">
        <v>4.7</v>
      </c>
      <c r="E31" s="15">
        <v>1</v>
      </c>
      <c r="F31" s="14">
        <f>6.74+6.44</f>
        <v>13.18</v>
      </c>
      <c r="G31" s="15">
        <v>2</v>
      </c>
      <c r="H31" s="14">
        <f>8.62+7.78+11.08</f>
        <v>27.48</v>
      </c>
      <c r="I31" s="15">
        <v>3</v>
      </c>
      <c r="J31" s="30">
        <f t="shared" si="0"/>
        <v>45.36</v>
      </c>
      <c r="K31" s="49">
        <f t="shared" si="1"/>
        <v>6</v>
      </c>
    </row>
    <row r="32" s="3" customFormat="1" ht="22.5" customHeight="1" spans="1:11">
      <c r="A32" s="13" t="s">
        <v>39</v>
      </c>
      <c r="B32" s="14">
        <v>5.72</v>
      </c>
      <c r="C32" s="15">
        <v>1</v>
      </c>
      <c r="D32" s="14">
        <v>0</v>
      </c>
      <c r="E32" s="15">
        <v>0</v>
      </c>
      <c r="F32" s="14">
        <f>5.84+5.34+5.56</f>
        <v>16.74</v>
      </c>
      <c r="G32" s="15">
        <v>3</v>
      </c>
      <c r="H32" s="14">
        <f>9.14+8.4</f>
        <v>17.54</v>
      </c>
      <c r="I32" s="15">
        <v>2</v>
      </c>
      <c r="J32" s="30">
        <f t="shared" si="0"/>
        <v>40</v>
      </c>
      <c r="K32" s="49">
        <f t="shared" si="1"/>
        <v>6</v>
      </c>
    </row>
    <row r="33" s="3" customFormat="1" ht="22.5" customHeight="1" spans="1:11">
      <c r="A33" s="13" t="s">
        <v>40</v>
      </c>
      <c r="B33" s="14">
        <v>0</v>
      </c>
      <c r="C33" s="15">
        <v>0</v>
      </c>
      <c r="D33" s="14">
        <v>3.96</v>
      </c>
      <c r="E33" s="15">
        <v>1</v>
      </c>
      <c r="F33" s="14">
        <f>6.66+5.68</f>
        <v>12.34</v>
      </c>
      <c r="G33" s="15">
        <v>2</v>
      </c>
      <c r="H33" s="14">
        <f>8.88+8.9</f>
        <v>17.78</v>
      </c>
      <c r="I33" s="15">
        <v>2</v>
      </c>
      <c r="J33" s="30">
        <f t="shared" si="0"/>
        <v>34.08</v>
      </c>
      <c r="K33" s="49">
        <f t="shared" si="1"/>
        <v>5</v>
      </c>
    </row>
    <row r="34" s="3" customFormat="1" ht="22.5" customHeight="1" spans="1:11">
      <c r="A34" s="13" t="s">
        <v>41</v>
      </c>
      <c r="B34" s="14">
        <v>0</v>
      </c>
      <c r="C34" s="15">
        <v>0</v>
      </c>
      <c r="D34" s="14">
        <v>2.88</v>
      </c>
      <c r="E34" s="15">
        <v>1</v>
      </c>
      <c r="F34" s="14">
        <f>6.64+5.12</f>
        <v>11.76</v>
      </c>
      <c r="G34" s="15">
        <v>2</v>
      </c>
      <c r="H34" s="14">
        <f>7.6+6.8+8.86+7.18</f>
        <v>30.44</v>
      </c>
      <c r="I34" s="15">
        <v>4</v>
      </c>
      <c r="J34" s="30">
        <f t="shared" si="0"/>
        <v>45.08</v>
      </c>
      <c r="K34" s="49">
        <f t="shared" si="1"/>
        <v>7</v>
      </c>
    </row>
    <row r="35" s="3" customFormat="1" ht="22.5" customHeight="1" spans="1:11">
      <c r="A35" s="13" t="s">
        <v>42</v>
      </c>
      <c r="B35" s="14">
        <v>7.62</v>
      </c>
      <c r="C35" s="15">
        <v>1</v>
      </c>
      <c r="D35" s="14">
        <v>0</v>
      </c>
      <c r="E35" s="15">
        <v>0</v>
      </c>
      <c r="F35" s="14">
        <f>7+6.28</f>
        <v>13.28</v>
      </c>
      <c r="G35" s="15">
        <v>2</v>
      </c>
      <c r="H35" s="14">
        <f>7.62+7.34+10.62</f>
        <v>25.58</v>
      </c>
      <c r="I35" s="15">
        <v>3</v>
      </c>
      <c r="J35" s="30">
        <f>B35+D35+F35+H35</f>
        <v>46.48</v>
      </c>
      <c r="K35" s="49">
        <f>C35+E35+G35+I35</f>
        <v>6</v>
      </c>
    </row>
    <row r="36" s="3" customFormat="1" ht="25.5" customHeight="1" spans="1:15">
      <c r="A36" s="16" t="s">
        <v>9</v>
      </c>
      <c r="B36" s="17">
        <f t="shared" ref="B36:K36" si="2">SUM(B5:B35)</f>
        <v>135.62</v>
      </c>
      <c r="C36" s="59">
        <f t="shared" si="2"/>
        <v>22</v>
      </c>
      <c r="D36" s="17">
        <f t="shared" si="2"/>
        <v>85.98</v>
      </c>
      <c r="E36" s="59">
        <f t="shared" si="2"/>
        <v>27</v>
      </c>
      <c r="F36" s="17">
        <f t="shared" si="2"/>
        <v>398.62</v>
      </c>
      <c r="G36" s="59">
        <f t="shared" si="2"/>
        <v>64</v>
      </c>
      <c r="H36" s="17">
        <f t="shared" si="2"/>
        <v>894.18</v>
      </c>
      <c r="I36" s="59">
        <f t="shared" si="2"/>
        <v>112</v>
      </c>
      <c r="J36" s="17">
        <f t="shared" si="2"/>
        <v>1514.4</v>
      </c>
      <c r="K36" s="59">
        <f t="shared" si="2"/>
        <v>225</v>
      </c>
      <c r="M36" s="31"/>
      <c r="N36" s="31"/>
      <c r="O36" s="31"/>
    </row>
    <row r="37" s="4" customFormat="1" ht="21" customHeight="1" spans="1:13">
      <c r="A37" s="23" t="s">
        <v>66</v>
      </c>
      <c r="B37" s="23"/>
      <c r="C37" s="23"/>
      <c r="D37" s="24"/>
      <c r="E37" s="24"/>
      <c r="F37" s="24"/>
      <c r="G37" s="24"/>
      <c r="H37" s="24"/>
      <c r="I37" s="24"/>
      <c r="J37" s="35"/>
      <c r="K37" s="35"/>
      <c r="M37" s="61"/>
    </row>
    <row r="38" spans="1:13">
      <c r="A38" s="25"/>
      <c r="B38" s="25"/>
      <c r="C38" s="25"/>
      <c r="D38" s="25"/>
      <c r="E38" s="25"/>
      <c r="F38" s="25"/>
      <c r="G38" s="25"/>
      <c r="H38" s="25"/>
      <c r="I38" s="25"/>
      <c r="M38" s="37"/>
    </row>
    <row r="39" spans="1:11">
      <c r="A39" s="26"/>
      <c r="B39" s="26"/>
      <c r="C39" s="26"/>
      <c r="D39" s="26"/>
      <c r="E39" s="26"/>
      <c r="F39" s="26"/>
      <c r="G39" s="26"/>
      <c r="H39" s="26"/>
      <c r="I39" s="26"/>
      <c r="J39" s="37"/>
      <c r="K39" s="37"/>
    </row>
    <row r="40" spans="1:11">
      <c r="A40" s="26"/>
      <c r="B40" s="26"/>
      <c r="C40" s="26"/>
      <c r="D40" s="26"/>
      <c r="E40" s="26"/>
      <c r="F40" s="26"/>
      <c r="G40" s="26"/>
      <c r="H40" s="26"/>
      <c r="I40" s="26"/>
      <c r="J40" s="38"/>
      <c r="K40" s="38"/>
    </row>
    <row r="41" spans="1:11">
      <c r="A41" s="26"/>
      <c r="B41" s="26"/>
      <c r="C41" s="26"/>
      <c r="D41" s="26"/>
      <c r="E41" s="26"/>
      <c r="F41" s="26"/>
      <c r="G41" s="26"/>
      <c r="H41" s="60"/>
      <c r="I41" s="60"/>
      <c r="J41" s="38"/>
      <c r="K41" s="38"/>
    </row>
  </sheetData>
  <mergeCells count="9">
    <mergeCell ref="A1:K1"/>
    <mergeCell ref="D2:K2"/>
    <mergeCell ref="B3:C3"/>
    <mergeCell ref="D3:E3"/>
    <mergeCell ref="F3:G3"/>
    <mergeCell ref="H3:I3"/>
    <mergeCell ref="J3:K3"/>
    <mergeCell ref="A38:D38"/>
    <mergeCell ref="A3:A4"/>
  </mergeCells>
  <pageMargins left="0.32" right="0.22" top="0.22" bottom="0.23" header="0.21" footer="0.2"/>
  <pageSetup paperSize="9" scale="90" orientation="portrait" horizontalDpi="600" verticalDpi="600"/>
  <headerFooter alignWithMargins="0" scaleWithDoc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K43"/>
  <sheetViews>
    <sheetView zoomScaleSheetLayoutView="60" topLeftCell="A20" workbookViewId="0">
      <selection activeCell="B8" sqref="B8:B34"/>
    </sheetView>
  </sheetViews>
  <sheetFormatPr defaultColWidth="9" defaultRowHeight="14.25"/>
  <cols>
    <col min="1" max="1" width="6.125" style="1" customWidth="1"/>
    <col min="2" max="2" width="33.875" style="1" customWidth="1"/>
    <col min="3" max="3" width="35.5" style="1" customWidth="1"/>
    <col min="4" max="4" width="10.625" style="1" hidden="1" customWidth="1"/>
    <col min="5" max="5" width="6.25" style="1" hidden="1" customWidth="1"/>
    <col min="6" max="6" width="11.625" style="1" hidden="1" customWidth="1"/>
    <col min="7" max="7" width="6.25" style="1" hidden="1" customWidth="1"/>
    <col min="8" max="8" width="10.5" style="1" hidden="1" customWidth="1"/>
    <col min="9" max="9" width="6.25" style="1" hidden="1" customWidth="1"/>
    <col min="10" max="10" width="14.375" style="1" hidden="1" customWidth="1"/>
    <col min="11" max="11" width="13.125" style="1" hidden="1" customWidth="1"/>
    <col min="12" max="16384" width="9" style="1"/>
  </cols>
  <sheetData>
    <row r="1" s="1" customFormat="1" ht="25.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17.25" customHeight="1" spans="1:9">
      <c r="A2" s="6">
        <v>1000</v>
      </c>
      <c r="B2" s="41" t="s">
        <v>44</v>
      </c>
      <c r="C2" s="41"/>
      <c r="D2" s="42"/>
      <c r="E2" s="42"/>
      <c r="F2" s="43"/>
      <c r="G2" s="43"/>
      <c r="H2" s="43"/>
      <c r="I2" s="43"/>
    </row>
    <row r="3" s="2" customFormat="1" ht="24" customHeight="1" spans="1:11">
      <c r="A3" s="44" t="s">
        <v>2</v>
      </c>
      <c r="B3" s="12" t="s">
        <v>67</v>
      </c>
      <c r="C3" s="12"/>
      <c r="D3" s="12"/>
      <c r="E3" s="12"/>
      <c r="F3" s="12"/>
      <c r="G3" s="12"/>
      <c r="H3" s="12"/>
      <c r="I3" s="12"/>
      <c r="J3" s="12"/>
      <c r="K3" s="12"/>
    </row>
    <row r="4" s="2" customFormat="1" ht="24" customHeight="1" spans="1:11">
      <c r="A4" s="45"/>
      <c r="B4" s="28"/>
      <c r="C4" s="29"/>
      <c r="D4" s="28"/>
      <c r="E4" s="29"/>
      <c r="F4" s="28"/>
      <c r="G4" s="29"/>
      <c r="H4" s="28"/>
      <c r="I4" s="29"/>
      <c r="J4" s="28" t="s">
        <v>9</v>
      </c>
      <c r="K4" s="29"/>
    </row>
    <row r="5" s="2" customFormat="1" ht="24" customHeight="1" spans="1:11">
      <c r="A5" s="11"/>
      <c r="B5" s="12" t="s">
        <v>10</v>
      </c>
      <c r="C5" s="12" t="s">
        <v>11</v>
      </c>
      <c r="D5" s="12" t="s">
        <v>10</v>
      </c>
      <c r="E5" s="12" t="s">
        <v>11</v>
      </c>
      <c r="F5" s="12" t="s">
        <v>10</v>
      </c>
      <c r="G5" s="12" t="s">
        <v>11</v>
      </c>
      <c r="H5" s="12" t="s">
        <v>10</v>
      </c>
      <c r="I5" s="12" t="s">
        <v>11</v>
      </c>
      <c r="J5" s="12" t="s">
        <v>10</v>
      </c>
      <c r="K5" s="12" t="s">
        <v>11</v>
      </c>
    </row>
    <row r="6" s="40" customFormat="1" ht="20.25" customHeight="1" spans="1:11">
      <c r="A6" s="46" t="s">
        <v>12</v>
      </c>
      <c r="B6" s="47">
        <v>0</v>
      </c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9">
        <v>0</v>
      </c>
      <c r="K6" s="57">
        <v>0</v>
      </c>
    </row>
    <row r="7" s="40" customFormat="1" ht="20.25" customHeight="1" spans="1:11">
      <c r="A7" s="46" t="s">
        <v>13</v>
      </c>
      <c r="B7" s="47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9">
        <v>0</v>
      </c>
      <c r="K7" s="57">
        <v>0</v>
      </c>
    </row>
    <row r="8" s="40" customFormat="1" ht="20.25" customHeight="1" spans="1:11">
      <c r="A8" s="46" t="s">
        <v>14</v>
      </c>
      <c r="B8" s="47">
        <v>7.68</v>
      </c>
      <c r="C8" s="48">
        <v>1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9">
        <v>0</v>
      </c>
      <c r="K8" s="57">
        <v>0</v>
      </c>
    </row>
    <row r="9" s="40" customFormat="1" ht="20.25" customHeight="1" spans="1:11">
      <c r="A9" s="46" t="s">
        <v>15</v>
      </c>
      <c r="B9" s="47">
        <v>0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9">
        <v>0</v>
      </c>
      <c r="K9" s="57">
        <v>0</v>
      </c>
    </row>
    <row r="10" s="40" customFormat="1" ht="20.25" customHeight="1" spans="1:11">
      <c r="A10" s="46" t="s">
        <v>16</v>
      </c>
      <c r="B10" s="47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9">
        <v>0</v>
      </c>
      <c r="K10" s="57">
        <v>0</v>
      </c>
    </row>
    <row r="11" s="40" customFormat="1" ht="20.25" customHeight="1" spans="1:11">
      <c r="A11" s="46" t="s">
        <v>17</v>
      </c>
      <c r="B11" s="47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9">
        <v>0</v>
      </c>
      <c r="K11" s="57">
        <v>0</v>
      </c>
    </row>
    <row r="12" s="40" customFormat="1" ht="20.25" customHeight="1" spans="1:11">
      <c r="A12" s="46" t="s">
        <v>18</v>
      </c>
      <c r="B12" s="47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9">
        <v>0</v>
      </c>
      <c r="K12" s="57">
        <v>0</v>
      </c>
    </row>
    <row r="13" s="40" customFormat="1" ht="20.25" customHeight="1" spans="1:11">
      <c r="A13" s="46" t="s">
        <v>19</v>
      </c>
      <c r="B13" s="47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9">
        <v>0</v>
      </c>
      <c r="K13" s="57">
        <v>0</v>
      </c>
    </row>
    <row r="14" s="40" customFormat="1" ht="20.25" customHeight="1" spans="1:11">
      <c r="A14" s="46" t="s">
        <v>20</v>
      </c>
      <c r="B14" s="47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9">
        <v>5.8</v>
      </c>
      <c r="K14" s="57">
        <v>1</v>
      </c>
    </row>
    <row r="15" s="40" customFormat="1" ht="20.25" customHeight="1" spans="1:11">
      <c r="A15" s="46" t="s">
        <v>21</v>
      </c>
      <c r="B15" s="47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9">
        <v>0</v>
      </c>
      <c r="K15" s="57">
        <v>0</v>
      </c>
    </row>
    <row r="16" s="40" customFormat="1" ht="20.25" customHeight="1" spans="1:11">
      <c r="A16" s="46" t="s">
        <v>22</v>
      </c>
      <c r="B16" s="47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9">
        <v>0</v>
      </c>
      <c r="K16" s="57">
        <v>0</v>
      </c>
    </row>
    <row r="17" s="40" customFormat="1" ht="20.25" customHeight="1" spans="1:11">
      <c r="A17" s="46" t="s">
        <v>23</v>
      </c>
      <c r="B17" s="47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9">
        <v>0</v>
      </c>
      <c r="K17" s="57">
        <v>0</v>
      </c>
    </row>
    <row r="18" s="40" customFormat="1" ht="20.25" customHeight="1" spans="1:11">
      <c r="A18" s="46" t="s">
        <v>24</v>
      </c>
      <c r="B18" s="47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9">
        <v>0</v>
      </c>
      <c r="K18" s="57">
        <v>0</v>
      </c>
    </row>
    <row r="19" s="40" customFormat="1" ht="20.25" customHeight="1" spans="1:11">
      <c r="A19" s="46" t="s">
        <v>25</v>
      </c>
      <c r="B19" s="47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9">
        <v>0</v>
      </c>
      <c r="K19" s="57">
        <v>0</v>
      </c>
    </row>
    <row r="20" s="40" customFormat="1" ht="20.25" customHeight="1" spans="1:11">
      <c r="A20" s="46" t="s">
        <v>26</v>
      </c>
      <c r="B20" s="47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9">
        <v>0</v>
      </c>
      <c r="K20" s="57">
        <v>0</v>
      </c>
    </row>
    <row r="21" s="40" customFormat="1" ht="20.25" customHeight="1" spans="1:11">
      <c r="A21" s="46" t="s">
        <v>27</v>
      </c>
      <c r="B21" s="47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9">
        <v>0</v>
      </c>
      <c r="K21" s="57">
        <v>0</v>
      </c>
    </row>
    <row r="22" s="40" customFormat="1" ht="20.25" customHeight="1" spans="1:11">
      <c r="A22" s="46" t="s">
        <v>28</v>
      </c>
      <c r="B22" s="47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9">
        <v>0</v>
      </c>
      <c r="K22" s="57">
        <v>0</v>
      </c>
    </row>
    <row r="23" s="40" customFormat="1" ht="20.25" customHeight="1" spans="1:11">
      <c r="A23" s="46" t="s">
        <v>29</v>
      </c>
      <c r="B23" s="47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9">
        <v>0</v>
      </c>
      <c r="K23" s="57">
        <v>0</v>
      </c>
    </row>
    <row r="24" s="40" customFormat="1" ht="20.25" customHeight="1" spans="1:11">
      <c r="A24" s="46" t="s">
        <v>30</v>
      </c>
      <c r="B24" s="47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9">
        <v>0</v>
      </c>
      <c r="K24" s="57">
        <v>0</v>
      </c>
    </row>
    <row r="25" s="40" customFormat="1" ht="20.25" customHeight="1" spans="1:11">
      <c r="A25" s="46" t="s">
        <v>31</v>
      </c>
      <c r="B25" s="47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9">
        <v>0</v>
      </c>
      <c r="K25" s="57">
        <v>0</v>
      </c>
    </row>
    <row r="26" s="40" customFormat="1" ht="20.25" customHeight="1" spans="1:11">
      <c r="A26" s="46" t="s">
        <v>32</v>
      </c>
      <c r="B26" s="47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9">
        <v>0</v>
      </c>
      <c r="K26" s="57">
        <v>0</v>
      </c>
    </row>
    <row r="27" s="40" customFormat="1" ht="20.25" customHeight="1" spans="1:11">
      <c r="A27" s="46" t="s">
        <v>33</v>
      </c>
      <c r="B27" s="47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9">
        <v>0</v>
      </c>
      <c r="K27" s="57">
        <v>0</v>
      </c>
    </row>
    <row r="28" s="40" customFormat="1" ht="20.25" customHeight="1" spans="1:11">
      <c r="A28" s="46" t="s">
        <v>34</v>
      </c>
      <c r="B28" s="47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9">
        <v>0</v>
      </c>
      <c r="K28" s="57">
        <v>0</v>
      </c>
    </row>
    <row r="29" s="40" customFormat="1" ht="20.25" customHeight="1" spans="1:11">
      <c r="A29" s="46" t="s">
        <v>35</v>
      </c>
      <c r="B29" s="47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9">
        <v>0</v>
      </c>
      <c r="K29" s="57">
        <v>0</v>
      </c>
    </row>
    <row r="30" s="40" customFormat="1" ht="20.25" customHeight="1" spans="1:11">
      <c r="A30" s="46" t="s">
        <v>36</v>
      </c>
      <c r="B30" s="47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9">
        <v>0</v>
      </c>
      <c r="K30" s="57">
        <v>0</v>
      </c>
    </row>
    <row r="31" s="40" customFormat="1" ht="20.25" customHeight="1" spans="1:11">
      <c r="A31" s="46" t="s">
        <v>37</v>
      </c>
      <c r="B31" s="47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9">
        <v>0</v>
      </c>
      <c r="K31" s="57">
        <v>0</v>
      </c>
    </row>
    <row r="32" s="40" customFormat="1" ht="20.25" customHeight="1" spans="1:11">
      <c r="A32" s="46" t="s">
        <v>38</v>
      </c>
      <c r="B32" s="47">
        <v>0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9">
        <v>0</v>
      </c>
      <c r="K32" s="57">
        <v>0</v>
      </c>
    </row>
    <row r="33" s="40" customFormat="1" ht="20.25" customHeight="1" spans="1:11">
      <c r="A33" s="46" t="s">
        <v>39</v>
      </c>
      <c r="B33" s="47">
        <v>9.94</v>
      </c>
      <c r="C33" s="48">
        <v>1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9">
        <v>0</v>
      </c>
      <c r="K33" s="57">
        <v>0</v>
      </c>
    </row>
    <row r="34" s="40" customFormat="1" ht="20.25" customHeight="1" spans="1:11">
      <c r="A34" s="46" t="s">
        <v>40</v>
      </c>
      <c r="B34" s="47">
        <v>7.78</v>
      </c>
      <c r="C34" s="48">
        <v>1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9" t="e">
        <v>#REF!</v>
      </c>
      <c r="K34" s="57">
        <v>0</v>
      </c>
    </row>
    <row r="35" s="40" customFormat="1" ht="19.5" customHeight="1" spans="1:11">
      <c r="A35" s="46" t="s">
        <v>41</v>
      </c>
      <c r="B35" s="47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9">
        <v>0</v>
      </c>
      <c r="K35" s="57">
        <v>0</v>
      </c>
    </row>
    <row r="36" s="40" customFormat="1" ht="18.75" customHeight="1" spans="1:11">
      <c r="A36" s="46" t="s">
        <v>42</v>
      </c>
      <c r="B36" s="47">
        <v>0</v>
      </c>
      <c r="C36" s="48">
        <v>0</v>
      </c>
      <c r="D36" s="48">
        <v>0</v>
      </c>
      <c r="E36" s="48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57">
        <v>0</v>
      </c>
    </row>
    <row r="37" s="40" customFormat="1" ht="19.5" customHeight="1" spans="1:11">
      <c r="A37" s="50" t="s">
        <v>9</v>
      </c>
      <c r="B37" s="47">
        <f>SUM(B6:B36)</f>
        <v>25.4</v>
      </c>
      <c r="C37" s="48">
        <f>SUM(C6:C36)</f>
        <v>3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49" t="e">
        <v>#REF!</v>
      </c>
      <c r="K37" s="49">
        <v>1</v>
      </c>
    </row>
    <row r="38" s="1" customFormat="1" ht="20.25" customHeight="1" spans="1:11">
      <c r="A38" s="23" t="s">
        <v>68</v>
      </c>
      <c r="B38" s="52"/>
      <c r="C38" s="53"/>
      <c r="D38" s="54"/>
      <c r="E38" s="54"/>
      <c r="F38" s="54"/>
      <c r="G38" s="55" t="s">
        <v>69</v>
      </c>
      <c r="H38" s="54"/>
      <c r="I38" s="54"/>
      <c r="K38" s="53" t="s">
        <v>2</v>
      </c>
    </row>
    <row r="39" spans="1:3">
      <c r="A39" s="25"/>
      <c r="B39" s="25"/>
      <c r="C39" s="25"/>
    </row>
    <row r="40" spans="1:6">
      <c r="A40" s="26"/>
      <c r="B40" s="26"/>
      <c r="F40" s="56"/>
    </row>
    <row r="41" spans="1:6">
      <c r="A41" s="26"/>
      <c r="B41" s="26"/>
      <c r="F41" s="56"/>
    </row>
    <row r="42" spans="1:2">
      <c r="A42" s="26"/>
      <c r="B42" s="26"/>
    </row>
    <row r="43" spans="1:2">
      <c r="A43" s="26"/>
      <c r="B43" s="26"/>
    </row>
  </sheetData>
  <mergeCells count="9">
    <mergeCell ref="A1:K1"/>
    <mergeCell ref="B2:C2"/>
    <mergeCell ref="B3:K3"/>
    <mergeCell ref="B4:C4"/>
    <mergeCell ref="D4:E4"/>
    <mergeCell ref="F4:G4"/>
    <mergeCell ref="J4:K4"/>
    <mergeCell ref="A39:B39"/>
    <mergeCell ref="A3:A5"/>
  </mergeCells>
  <pageMargins left="0.79" right="0.16" top="0.19" bottom="0.23" header="0.21" footer="0.2"/>
  <pageSetup paperSize="9" scale="99" orientation="portrait" horizontalDpi="600" verticalDpi="600"/>
  <headerFooter alignWithMargins="0" scaleWithDoc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R42"/>
  <sheetViews>
    <sheetView zoomScaleSheetLayoutView="60" topLeftCell="A12" workbookViewId="0">
      <selection activeCell="K36" sqref="K36"/>
    </sheetView>
  </sheetViews>
  <sheetFormatPr defaultColWidth="9" defaultRowHeight="14.25"/>
  <cols>
    <col min="1" max="1" width="5.375" style="1" customWidth="1"/>
    <col min="2" max="2" width="9.875" style="1" customWidth="1"/>
    <col min="3" max="3" width="5.75" style="1" customWidth="1"/>
    <col min="4" max="4" width="9.625" style="1" customWidth="1"/>
    <col min="5" max="5" width="7.625" style="1" customWidth="1"/>
    <col min="6" max="6" width="8.375" style="1" customWidth="1"/>
    <col min="7" max="7" width="5.625" style="1" customWidth="1"/>
    <col min="8" max="8" width="10.125" style="1" customWidth="1"/>
    <col min="9" max="9" width="5.875" style="1" customWidth="1"/>
    <col min="10" max="10" width="9.375" style="1" customWidth="1"/>
    <col min="11" max="11" width="5.75" style="1" customWidth="1"/>
    <col min="12" max="12" width="11.875" style="1" customWidth="1"/>
    <col min="13" max="13" width="7" style="1" customWidth="1"/>
    <col min="14" max="14" width="9" style="1"/>
    <col min="15" max="15" width="11.625" style="1"/>
    <col min="16" max="16" width="9.5" style="1"/>
    <col min="17" max="17" width="11.625" style="1"/>
    <col min="18" max="18" width="10.5" style="1"/>
    <col min="19" max="16384" width="9" style="1"/>
  </cols>
  <sheetData>
    <row r="1" s="1" customFormat="1" ht="35.2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30" customHeight="1" spans="1:13">
      <c r="A2" s="6">
        <v>1000</v>
      </c>
      <c r="B2" s="6"/>
      <c r="C2" s="6"/>
      <c r="D2" s="7"/>
      <c r="E2" s="7"/>
      <c r="F2" s="7"/>
      <c r="G2" s="7"/>
      <c r="H2" s="7"/>
      <c r="I2" s="7"/>
      <c r="J2" s="7"/>
      <c r="K2" s="7"/>
      <c r="L2" s="27" t="s">
        <v>1</v>
      </c>
      <c r="M2" s="27"/>
    </row>
    <row r="3" s="2" customFormat="1" ht="37.5" customHeight="1" spans="1:13">
      <c r="A3" s="8" t="s">
        <v>2</v>
      </c>
      <c r="B3" s="9" t="s">
        <v>70</v>
      </c>
      <c r="C3" s="10"/>
      <c r="D3" s="9" t="s">
        <v>71</v>
      </c>
      <c r="E3" s="10"/>
      <c r="F3" s="9" t="s">
        <v>72</v>
      </c>
      <c r="G3" s="10"/>
      <c r="H3" s="9" t="s">
        <v>73</v>
      </c>
      <c r="I3" s="10"/>
      <c r="J3" s="9" t="s">
        <v>74</v>
      </c>
      <c r="K3" s="10"/>
      <c r="L3" s="28" t="s">
        <v>9</v>
      </c>
      <c r="M3" s="29"/>
    </row>
    <row r="4" s="2" customFormat="1" ht="24.75" customHeight="1" spans="1:13">
      <c r="A4" s="11"/>
      <c r="B4" s="11" t="s">
        <v>10</v>
      </c>
      <c r="C4" s="11" t="s">
        <v>11</v>
      </c>
      <c r="D4" s="11" t="s">
        <v>10</v>
      </c>
      <c r="E4" s="11" t="s">
        <v>11</v>
      </c>
      <c r="F4" s="11" t="s">
        <v>10</v>
      </c>
      <c r="G4" s="11" t="s">
        <v>11</v>
      </c>
      <c r="H4" s="12" t="s">
        <v>10</v>
      </c>
      <c r="I4" s="12" t="s">
        <v>11</v>
      </c>
      <c r="J4" s="12" t="s">
        <v>10</v>
      </c>
      <c r="K4" s="12" t="s">
        <v>11</v>
      </c>
      <c r="L4" s="12" t="s">
        <v>10</v>
      </c>
      <c r="M4" s="12" t="s">
        <v>11</v>
      </c>
    </row>
    <row r="5" s="3" customFormat="1" ht="22.5" customHeight="1" spans="1:13">
      <c r="A5" s="13" t="s">
        <v>12</v>
      </c>
      <c r="B5" s="14">
        <v>0</v>
      </c>
      <c r="C5" s="15">
        <v>0</v>
      </c>
      <c r="D5" s="14">
        <v>4.7</v>
      </c>
      <c r="E5" s="15">
        <v>1</v>
      </c>
      <c r="F5" s="14">
        <v>2.88</v>
      </c>
      <c r="G5" s="15">
        <v>1</v>
      </c>
      <c r="H5" s="14">
        <v>0</v>
      </c>
      <c r="I5" s="15">
        <v>0</v>
      </c>
      <c r="J5" s="14">
        <v>5.26</v>
      </c>
      <c r="K5" s="15">
        <v>1</v>
      </c>
      <c r="L5" s="30">
        <f t="shared" ref="L5:L35" si="0">+B5+D5+F5+H5+J5</f>
        <v>12.84</v>
      </c>
      <c r="M5" s="15">
        <f t="shared" ref="M5:M35" si="1">+C5+E5+G5+I5+K5</f>
        <v>3</v>
      </c>
    </row>
    <row r="6" s="3" customFormat="1" ht="22.5" customHeight="1" spans="1:13">
      <c r="A6" s="13" t="s">
        <v>13</v>
      </c>
      <c r="B6" s="14">
        <v>0</v>
      </c>
      <c r="C6" s="15">
        <v>0</v>
      </c>
      <c r="D6" s="14">
        <v>5.82</v>
      </c>
      <c r="E6" s="15">
        <v>1</v>
      </c>
      <c r="F6" s="14">
        <v>0</v>
      </c>
      <c r="G6" s="15">
        <v>0</v>
      </c>
      <c r="H6" s="14">
        <v>0</v>
      </c>
      <c r="I6" s="15">
        <v>0</v>
      </c>
      <c r="J6" s="14">
        <v>4.16</v>
      </c>
      <c r="K6" s="15">
        <v>1</v>
      </c>
      <c r="L6" s="30">
        <f t="shared" si="0"/>
        <v>9.98</v>
      </c>
      <c r="M6" s="15">
        <f t="shared" si="1"/>
        <v>2</v>
      </c>
    </row>
    <row r="7" s="3" customFormat="1" ht="22.5" customHeight="1" spans="1:13">
      <c r="A7" s="13" t="s">
        <v>14</v>
      </c>
      <c r="B7" s="14">
        <v>0</v>
      </c>
      <c r="C7" s="15">
        <v>0</v>
      </c>
      <c r="D7" s="14">
        <v>7.34</v>
      </c>
      <c r="E7" s="15">
        <v>1</v>
      </c>
      <c r="F7" s="14">
        <v>3.3</v>
      </c>
      <c r="G7" s="15">
        <v>1</v>
      </c>
      <c r="H7" s="14">
        <v>0</v>
      </c>
      <c r="I7" s="15">
        <v>0</v>
      </c>
      <c r="J7" s="14">
        <v>4.36</v>
      </c>
      <c r="K7" s="15">
        <v>1</v>
      </c>
      <c r="L7" s="30">
        <f t="shared" si="0"/>
        <v>15</v>
      </c>
      <c r="M7" s="15">
        <f t="shared" si="1"/>
        <v>3</v>
      </c>
    </row>
    <row r="8" s="3" customFormat="1" ht="22.5" customHeight="1" spans="1:13">
      <c r="A8" s="13" t="s">
        <v>15</v>
      </c>
      <c r="B8" s="14">
        <v>0</v>
      </c>
      <c r="C8" s="15">
        <v>0</v>
      </c>
      <c r="D8" s="14">
        <v>6.94</v>
      </c>
      <c r="E8" s="15">
        <v>1</v>
      </c>
      <c r="F8" s="14">
        <v>0</v>
      </c>
      <c r="G8" s="15">
        <v>0</v>
      </c>
      <c r="H8" s="14">
        <v>0</v>
      </c>
      <c r="I8" s="15">
        <v>0</v>
      </c>
      <c r="J8" s="14">
        <v>4.66</v>
      </c>
      <c r="K8" s="15">
        <v>1</v>
      </c>
      <c r="L8" s="30">
        <f t="shared" si="0"/>
        <v>11.6</v>
      </c>
      <c r="M8" s="15">
        <f t="shared" si="1"/>
        <v>2</v>
      </c>
    </row>
    <row r="9" s="3" customFormat="1" ht="22.5" customHeight="1" spans="1:13">
      <c r="A9" s="13" t="s">
        <v>16</v>
      </c>
      <c r="B9" s="14">
        <v>0</v>
      </c>
      <c r="C9" s="15">
        <v>0</v>
      </c>
      <c r="D9" s="14">
        <v>7.8</v>
      </c>
      <c r="E9" s="15">
        <v>1</v>
      </c>
      <c r="F9" s="14">
        <v>0</v>
      </c>
      <c r="G9" s="15">
        <v>0</v>
      </c>
      <c r="H9" s="14">
        <v>0</v>
      </c>
      <c r="I9" s="15">
        <v>0</v>
      </c>
      <c r="J9" s="14">
        <v>4.74</v>
      </c>
      <c r="K9" s="15">
        <v>1</v>
      </c>
      <c r="L9" s="30">
        <f t="shared" si="0"/>
        <v>12.54</v>
      </c>
      <c r="M9" s="15">
        <f t="shared" si="1"/>
        <v>2</v>
      </c>
    </row>
    <row r="10" s="3" customFormat="1" ht="22.5" customHeight="1" spans="1:18">
      <c r="A10" s="13" t="s">
        <v>17</v>
      </c>
      <c r="B10" s="14">
        <v>0</v>
      </c>
      <c r="C10" s="15">
        <v>0</v>
      </c>
      <c r="D10" s="14">
        <v>6.56</v>
      </c>
      <c r="E10" s="15">
        <v>1</v>
      </c>
      <c r="F10" s="14">
        <v>0</v>
      </c>
      <c r="G10" s="15">
        <v>0</v>
      </c>
      <c r="H10" s="14">
        <v>0</v>
      </c>
      <c r="I10" s="15">
        <v>0</v>
      </c>
      <c r="J10" s="14">
        <v>4.8</v>
      </c>
      <c r="K10" s="15">
        <v>1</v>
      </c>
      <c r="L10" s="30">
        <f t="shared" si="0"/>
        <v>11.36</v>
      </c>
      <c r="M10" s="15">
        <f t="shared" si="1"/>
        <v>2</v>
      </c>
      <c r="Q10" s="39"/>
      <c r="R10" s="39"/>
    </row>
    <row r="11" s="3" customFormat="1" ht="22.5" customHeight="1" spans="1:18">
      <c r="A11" s="13" t="s">
        <v>18</v>
      </c>
      <c r="B11" s="14">
        <v>0</v>
      </c>
      <c r="C11" s="15">
        <v>0</v>
      </c>
      <c r="D11" s="14">
        <v>3.42</v>
      </c>
      <c r="E11" s="15">
        <v>1</v>
      </c>
      <c r="F11" s="14">
        <v>2.38</v>
      </c>
      <c r="G11" s="15">
        <v>1</v>
      </c>
      <c r="H11" s="14">
        <v>0</v>
      </c>
      <c r="I11" s="15">
        <v>0</v>
      </c>
      <c r="J11" s="14">
        <v>0</v>
      </c>
      <c r="K11" s="15">
        <v>0</v>
      </c>
      <c r="L11" s="30">
        <f t="shared" si="0"/>
        <v>5.8</v>
      </c>
      <c r="M11" s="15">
        <f t="shared" si="1"/>
        <v>2</v>
      </c>
      <c r="Q11" s="39"/>
      <c r="R11" s="39"/>
    </row>
    <row r="12" s="3" customFormat="1" ht="22.5" customHeight="1" spans="1:18">
      <c r="A12" s="13" t="s">
        <v>19</v>
      </c>
      <c r="B12" s="14">
        <v>0</v>
      </c>
      <c r="C12" s="15">
        <v>0</v>
      </c>
      <c r="D12" s="14">
        <v>5.14</v>
      </c>
      <c r="E12" s="15">
        <v>1</v>
      </c>
      <c r="F12" s="14">
        <f>3.1+3.3</f>
        <v>6.4</v>
      </c>
      <c r="G12" s="15">
        <v>2</v>
      </c>
      <c r="H12" s="14">
        <v>0</v>
      </c>
      <c r="I12" s="15">
        <v>0</v>
      </c>
      <c r="J12" s="14">
        <v>4.92</v>
      </c>
      <c r="K12" s="15">
        <v>1</v>
      </c>
      <c r="L12" s="30">
        <f t="shared" si="0"/>
        <v>16.46</v>
      </c>
      <c r="M12" s="15">
        <f t="shared" si="1"/>
        <v>4</v>
      </c>
      <c r="Q12" s="39"/>
      <c r="R12" s="39"/>
    </row>
    <row r="13" s="3" customFormat="1" ht="22.5" customHeight="1" spans="1:18">
      <c r="A13" s="13" t="s">
        <v>20</v>
      </c>
      <c r="B13" s="14">
        <v>0</v>
      </c>
      <c r="C13" s="15">
        <v>0</v>
      </c>
      <c r="D13" s="14">
        <v>6.94</v>
      </c>
      <c r="E13" s="15">
        <v>1</v>
      </c>
      <c r="F13" s="14">
        <f>2.84+3.38</f>
        <v>6.22</v>
      </c>
      <c r="G13" s="15">
        <v>2</v>
      </c>
      <c r="H13" s="14">
        <v>0</v>
      </c>
      <c r="I13" s="15">
        <v>0</v>
      </c>
      <c r="J13" s="14">
        <v>4.66</v>
      </c>
      <c r="K13" s="15">
        <v>1</v>
      </c>
      <c r="L13" s="30">
        <f t="shared" si="0"/>
        <v>17.82</v>
      </c>
      <c r="M13" s="15">
        <f t="shared" si="1"/>
        <v>4</v>
      </c>
      <c r="Q13" s="39"/>
      <c r="R13" s="39"/>
    </row>
    <row r="14" s="3" customFormat="1" ht="22.5" customHeight="1" spans="1:18">
      <c r="A14" s="13" t="s">
        <v>21</v>
      </c>
      <c r="B14" s="14">
        <v>0</v>
      </c>
      <c r="C14" s="15">
        <v>0</v>
      </c>
      <c r="D14" s="14">
        <v>7.54</v>
      </c>
      <c r="E14" s="15">
        <v>1</v>
      </c>
      <c r="F14" s="14">
        <f>3.04+3.14</f>
        <v>6.18</v>
      </c>
      <c r="G14" s="15">
        <v>2</v>
      </c>
      <c r="H14" s="14">
        <v>0</v>
      </c>
      <c r="I14" s="15">
        <v>0</v>
      </c>
      <c r="J14" s="14">
        <v>4.66</v>
      </c>
      <c r="K14" s="15">
        <v>1</v>
      </c>
      <c r="L14" s="30">
        <f t="shared" si="0"/>
        <v>18.38</v>
      </c>
      <c r="M14" s="15">
        <f t="shared" si="1"/>
        <v>4</v>
      </c>
      <c r="Q14" s="39"/>
      <c r="R14" s="39"/>
    </row>
    <row r="15" s="3" customFormat="1" ht="22.5" customHeight="1" spans="1:18">
      <c r="A15" s="13" t="s">
        <v>22</v>
      </c>
      <c r="B15" s="14">
        <v>0</v>
      </c>
      <c r="C15" s="15">
        <v>0</v>
      </c>
      <c r="D15" s="14">
        <v>6.22</v>
      </c>
      <c r="E15" s="15">
        <v>1</v>
      </c>
      <c r="F15" s="14">
        <f>3.2+2.74</f>
        <v>5.94</v>
      </c>
      <c r="G15" s="15">
        <v>2</v>
      </c>
      <c r="H15" s="14">
        <v>0</v>
      </c>
      <c r="I15" s="15">
        <v>0</v>
      </c>
      <c r="J15" s="14">
        <v>4.12</v>
      </c>
      <c r="K15" s="15">
        <v>1</v>
      </c>
      <c r="L15" s="30">
        <f t="shared" si="0"/>
        <v>16.28</v>
      </c>
      <c r="M15" s="15">
        <f t="shared" si="1"/>
        <v>4</v>
      </c>
      <c r="Q15" s="39"/>
      <c r="R15" s="39"/>
    </row>
    <row r="16" s="3" customFormat="1" ht="22.5" customHeight="1" spans="1:18">
      <c r="A16" s="13" t="s">
        <v>23</v>
      </c>
      <c r="B16" s="14">
        <v>0</v>
      </c>
      <c r="C16" s="15">
        <v>0</v>
      </c>
      <c r="D16" s="14">
        <v>8.04</v>
      </c>
      <c r="E16" s="15">
        <v>1</v>
      </c>
      <c r="F16" s="14">
        <f>2.94+3.06</f>
        <v>6</v>
      </c>
      <c r="G16" s="15">
        <v>2</v>
      </c>
      <c r="H16" s="14">
        <v>0</v>
      </c>
      <c r="I16" s="15">
        <v>0</v>
      </c>
      <c r="J16" s="14">
        <v>4.18</v>
      </c>
      <c r="K16" s="15">
        <v>1</v>
      </c>
      <c r="L16" s="30">
        <f t="shared" si="0"/>
        <v>18.22</v>
      </c>
      <c r="M16" s="15">
        <f t="shared" si="1"/>
        <v>4</v>
      </c>
      <c r="Q16" s="39"/>
      <c r="R16" s="39"/>
    </row>
    <row r="17" s="3" customFormat="1" ht="22.5" customHeight="1" spans="1:18">
      <c r="A17" s="13" t="s">
        <v>24</v>
      </c>
      <c r="B17" s="14">
        <v>0</v>
      </c>
      <c r="C17" s="15">
        <v>0</v>
      </c>
      <c r="D17" s="14">
        <v>6.52</v>
      </c>
      <c r="E17" s="15">
        <v>1</v>
      </c>
      <c r="F17" s="14">
        <f>3.66+2.86</f>
        <v>6.52</v>
      </c>
      <c r="G17" s="15">
        <v>2</v>
      </c>
      <c r="H17" s="14">
        <v>0</v>
      </c>
      <c r="I17" s="15">
        <v>0</v>
      </c>
      <c r="J17" s="14">
        <v>4.64</v>
      </c>
      <c r="K17" s="15">
        <v>1</v>
      </c>
      <c r="L17" s="30">
        <f t="shared" si="0"/>
        <v>17.68</v>
      </c>
      <c r="M17" s="15">
        <f t="shared" si="1"/>
        <v>4</v>
      </c>
      <c r="Q17" s="39"/>
      <c r="R17" s="39"/>
    </row>
    <row r="18" s="3" customFormat="1" ht="22.5" customHeight="1" spans="1:18">
      <c r="A18" s="13" t="s">
        <v>25</v>
      </c>
      <c r="B18" s="14">
        <v>0</v>
      </c>
      <c r="C18" s="15">
        <v>0</v>
      </c>
      <c r="D18" s="14">
        <v>4.04</v>
      </c>
      <c r="E18" s="15">
        <v>1</v>
      </c>
      <c r="F18" s="14">
        <v>3.8</v>
      </c>
      <c r="G18" s="15">
        <v>1</v>
      </c>
      <c r="H18" s="14">
        <v>0</v>
      </c>
      <c r="I18" s="15">
        <v>0</v>
      </c>
      <c r="J18" s="14">
        <v>0</v>
      </c>
      <c r="K18" s="15">
        <v>0</v>
      </c>
      <c r="L18" s="30">
        <f t="shared" si="0"/>
        <v>7.84</v>
      </c>
      <c r="M18" s="15">
        <f t="shared" si="1"/>
        <v>2</v>
      </c>
      <c r="Q18" s="39"/>
      <c r="R18" s="39"/>
    </row>
    <row r="19" s="3" customFormat="1" ht="22.5" customHeight="1" spans="1:18">
      <c r="A19" s="13" t="s">
        <v>26</v>
      </c>
      <c r="B19" s="14">
        <v>0</v>
      </c>
      <c r="C19" s="15">
        <v>0</v>
      </c>
      <c r="D19" s="14">
        <v>5.46</v>
      </c>
      <c r="E19" s="15">
        <v>1</v>
      </c>
      <c r="F19" s="14">
        <v>3.1</v>
      </c>
      <c r="G19" s="15">
        <v>1</v>
      </c>
      <c r="H19" s="14">
        <v>0</v>
      </c>
      <c r="I19" s="15">
        <v>0</v>
      </c>
      <c r="J19" s="14">
        <v>5.14</v>
      </c>
      <c r="K19" s="15">
        <v>1</v>
      </c>
      <c r="L19" s="30">
        <f t="shared" si="0"/>
        <v>13.7</v>
      </c>
      <c r="M19" s="15">
        <f t="shared" si="1"/>
        <v>3</v>
      </c>
      <c r="Q19" s="39"/>
      <c r="R19" s="39"/>
    </row>
    <row r="20" s="3" customFormat="1" ht="22.5" customHeight="1" spans="1:18">
      <c r="A20" s="13" t="s">
        <v>27</v>
      </c>
      <c r="B20" s="14">
        <v>0</v>
      </c>
      <c r="C20" s="15">
        <v>0</v>
      </c>
      <c r="D20" s="14">
        <v>7.08</v>
      </c>
      <c r="E20" s="15">
        <v>1</v>
      </c>
      <c r="F20" s="14">
        <v>0</v>
      </c>
      <c r="G20" s="15">
        <v>0</v>
      </c>
      <c r="H20" s="14">
        <v>0</v>
      </c>
      <c r="I20" s="15">
        <v>0</v>
      </c>
      <c r="J20" s="14">
        <v>4.1</v>
      </c>
      <c r="K20" s="15">
        <v>1</v>
      </c>
      <c r="L20" s="30">
        <f t="shared" si="0"/>
        <v>11.18</v>
      </c>
      <c r="M20" s="15">
        <f t="shared" si="1"/>
        <v>2</v>
      </c>
      <c r="Q20" s="39"/>
      <c r="R20" s="39"/>
    </row>
    <row r="21" s="3" customFormat="1" ht="22.5" customHeight="1" spans="1:13">
      <c r="A21" s="13" t="s">
        <v>28</v>
      </c>
      <c r="B21" s="14">
        <v>0</v>
      </c>
      <c r="C21" s="15">
        <v>0</v>
      </c>
      <c r="D21" s="14">
        <v>6.96</v>
      </c>
      <c r="E21" s="15">
        <v>1</v>
      </c>
      <c r="F21" s="14">
        <v>0</v>
      </c>
      <c r="G21" s="15">
        <v>0</v>
      </c>
      <c r="H21" s="14">
        <v>0</v>
      </c>
      <c r="I21" s="15">
        <v>0</v>
      </c>
      <c r="J21" s="14">
        <v>1.28</v>
      </c>
      <c r="K21" s="15">
        <v>1</v>
      </c>
      <c r="L21" s="30">
        <f t="shared" si="0"/>
        <v>8.24</v>
      </c>
      <c r="M21" s="15">
        <f t="shared" si="1"/>
        <v>2</v>
      </c>
    </row>
    <row r="22" s="3" customFormat="1" ht="22.5" customHeight="1" spans="1:13">
      <c r="A22" s="13" t="s">
        <v>29</v>
      </c>
      <c r="B22" s="14">
        <v>0</v>
      </c>
      <c r="C22" s="15">
        <v>0</v>
      </c>
      <c r="D22" s="14">
        <v>6.52</v>
      </c>
      <c r="E22" s="15">
        <v>1</v>
      </c>
      <c r="F22" s="14">
        <v>0</v>
      </c>
      <c r="G22" s="15">
        <v>0</v>
      </c>
      <c r="H22" s="14">
        <v>0</v>
      </c>
      <c r="I22" s="15">
        <v>0</v>
      </c>
      <c r="J22" s="14">
        <v>0</v>
      </c>
      <c r="K22" s="15">
        <v>0</v>
      </c>
      <c r="L22" s="30">
        <f t="shared" si="0"/>
        <v>6.52</v>
      </c>
      <c r="M22" s="15">
        <f t="shared" si="1"/>
        <v>1</v>
      </c>
    </row>
    <row r="23" s="3" customFormat="1" ht="22.5" customHeight="1" spans="1:13">
      <c r="A23" s="13" t="s">
        <v>30</v>
      </c>
      <c r="B23" s="14">
        <v>0</v>
      </c>
      <c r="C23" s="15">
        <v>0</v>
      </c>
      <c r="D23" s="14">
        <v>5.16</v>
      </c>
      <c r="E23" s="15">
        <v>1</v>
      </c>
      <c r="F23" s="14">
        <v>0</v>
      </c>
      <c r="G23" s="15">
        <v>0</v>
      </c>
      <c r="H23" s="14">
        <v>0</v>
      </c>
      <c r="I23" s="15">
        <v>0</v>
      </c>
      <c r="J23" s="14">
        <v>4.74</v>
      </c>
      <c r="K23" s="15">
        <v>1</v>
      </c>
      <c r="L23" s="30">
        <f t="shared" si="0"/>
        <v>9.9</v>
      </c>
      <c r="M23" s="15">
        <f t="shared" si="1"/>
        <v>2</v>
      </c>
    </row>
    <row r="24" s="3" customFormat="1" ht="22.5" customHeight="1" spans="1:13">
      <c r="A24" s="13" t="s">
        <v>31</v>
      </c>
      <c r="B24" s="14">
        <v>0</v>
      </c>
      <c r="C24" s="15">
        <v>0</v>
      </c>
      <c r="D24" s="14">
        <v>5.48</v>
      </c>
      <c r="E24" s="15">
        <v>1</v>
      </c>
      <c r="F24" s="14">
        <v>0</v>
      </c>
      <c r="G24" s="15">
        <v>0</v>
      </c>
      <c r="H24" s="14">
        <v>0</v>
      </c>
      <c r="I24" s="15">
        <v>0</v>
      </c>
      <c r="J24" s="14">
        <v>4.12</v>
      </c>
      <c r="K24" s="15">
        <v>1</v>
      </c>
      <c r="L24" s="30">
        <f t="shared" si="0"/>
        <v>9.6</v>
      </c>
      <c r="M24" s="15">
        <f t="shared" si="1"/>
        <v>2</v>
      </c>
    </row>
    <row r="25" s="3" customFormat="1" ht="22.5" customHeight="1" spans="1:13">
      <c r="A25" s="13" t="s">
        <v>32</v>
      </c>
      <c r="B25" s="14">
        <v>0</v>
      </c>
      <c r="C25" s="15">
        <v>0</v>
      </c>
      <c r="D25" s="14">
        <v>4.22</v>
      </c>
      <c r="E25" s="15">
        <v>1</v>
      </c>
      <c r="F25" s="14">
        <v>0</v>
      </c>
      <c r="G25" s="15">
        <v>0</v>
      </c>
      <c r="H25" s="14">
        <v>0</v>
      </c>
      <c r="I25" s="15">
        <v>0</v>
      </c>
      <c r="J25" s="14">
        <v>0</v>
      </c>
      <c r="K25" s="15">
        <v>0</v>
      </c>
      <c r="L25" s="30">
        <f t="shared" si="0"/>
        <v>4.22</v>
      </c>
      <c r="M25" s="15">
        <f t="shared" si="1"/>
        <v>1</v>
      </c>
    </row>
    <row r="26" s="3" customFormat="1" ht="22.5" customHeight="1" spans="1:13">
      <c r="A26" s="13" t="s">
        <v>33</v>
      </c>
      <c r="B26" s="14">
        <v>0</v>
      </c>
      <c r="C26" s="15">
        <v>0</v>
      </c>
      <c r="D26" s="14">
        <v>5.2</v>
      </c>
      <c r="E26" s="15">
        <v>1</v>
      </c>
      <c r="F26" s="14">
        <v>0</v>
      </c>
      <c r="G26" s="15">
        <v>0</v>
      </c>
      <c r="H26" s="14">
        <v>0</v>
      </c>
      <c r="I26" s="15">
        <v>0</v>
      </c>
      <c r="J26" s="14">
        <v>4.92</v>
      </c>
      <c r="K26" s="15">
        <v>1</v>
      </c>
      <c r="L26" s="30">
        <f t="shared" si="0"/>
        <v>10.12</v>
      </c>
      <c r="M26" s="15">
        <f t="shared" si="1"/>
        <v>2</v>
      </c>
    </row>
    <row r="27" s="3" customFormat="1" ht="22.5" customHeight="1" spans="1:13">
      <c r="A27" s="13" t="s">
        <v>34</v>
      </c>
      <c r="B27" s="14">
        <v>0</v>
      </c>
      <c r="C27" s="15">
        <v>0</v>
      </c>
      <c r="D27" s="14">
        <v>4.8</v>
      </c>
      <c r="E27" s="15">
        <v>1</v>
      </c>
      <c r="F27" s="14">
        <v>0</v>
      </c>
      <c r="G27" s="15">
        <v>0</v>
      </c>
      <c r="H27" s="14">
        <v>0</v>
      </c>
      <c r="I27" s="15">
        <v>0</v>
      </c>
      <c r="J27" s="14">
        <v>0</v>
      </c>
      <c r="K27" s="15">
        <v>0</v>
      </c>
      <c r="L27" s="30">
        <f t="shared" si="0"/>
        <v>4.8</v>
      </c>
      <c r="M27" s="15">
        <f t="shared" si="1"/>
        <v>1</v>
      </c>
    </row>
    <row r="28" s="3" customFormat="1" ht="22.5" customHeight="1" spans="1:13">
      <c r="A28" s="13" t="s">
        <v>35</v>
      </c>
      <c r="B28" s="14">
        <v>0</v>
      </c>
      <c r="C28" s="15">
        <v>0</v>
      </c>
      <c r="D28" s="14">
        <v>5.12</v>
      </c>
      <c r="E28" s="15">
        <v>1</v>
      </c>
      <c r="F28" s="14">
        <v>3.4</v>
      </c>
      <c r="G28" s="15">
        <v>1</v>
      </c>
      <c r="H28" s="14">
        <v>0</v>
      </c>
      <c r="I28" s="15">
        <v>0</v>
      </c>
      <c r="J28" s="14">
        <v>4.46</v>
      </c>
      <c r="K28" s="15">
        <v>1</v>
      </c>
      <c r="L28" s="30">
        <f t="shared" si="0"/>
        <v>12.98</v>
      </c>
      <c r="M28" s="15">
        <f t="shared" si="1"/>
        <v>3</v>
      </c>
    </row>
    <row r="29" s="3" customFormat="1" ht="22.5" customHeight="1" spans="1:13">
      <c r="A29" s="13" t="s">
        <v>36</v>
      </c>
      <c r="B29" s="14">
        <v>0</v>
      </c>
      <c r="C29" s="15">
        <v>0</v>
      </c>
      <c r="D29" s="14">
        <v>6.7</v>
      </c>
      <c r="E29" s="15">
        <v>1</v>
      </c>
      <c r="F29" s="14">
        <f>2.94+3.22</f>
        <v>6.16</v>
      </c>
      <c r="G29" s="15">
        <v>2</v>
      </c>
      <c r="H29" s="14">
        <v>0</v>
      </c>
      <c r="I29" s="15">
        <v>0</v>
      </c>
      <c r="J29" s="14">
        <v>4.16</v>
      </c>
      <c r="K29" s="15">
        <v>1</v>
      </c>
      <c r="L29" s="30">
        <f t="shared" si="0"/>
        <v>17.02</v>
      </c>
      <c r="M29" s="15">
        <f t="shared" si="1"/>
        <v>4</v>
      </c>
    </row>
    <row r="30" s="3" customFormat="1" ht="22.5" customHeight="1" spans="1:13">
      <c r="A30" s="13" t="s">
        <v>37</v>
      </c>
      <c r="B30" s="14">
        <v>0</v>
      </c>
      <c r="C30" s="15">
        <v>0</v>
      </c>
      <c r="D30" s="14">
        <v>4.82</v>
      </c>
      <c r="E30" s="15">
        <v>1</v>
      </c>
      <c r="F30" s="14">
        <f>3.36+4.48</f>
        <v>7.84</v>
      </c>
      <c r="G30" s="15">
        <v>2</v>
      </c>
      <c r="H30" s="14">
        <v>0</v>
      </c>
      <c r="I30" s="15">
        <v>0</v>
      </c>
      <c r="J30" s="14">
        <v>0</v>
      </c>
      <c r="K30" s="15">
        <v>0</v>
      </c>
      <c r="L30" s="30">
        <f t="shared" si="0"/>
        <v>12.66</v>
      </c>
      <c r="M30" s="15">
        <f t="shared" si="1"/>
        <v>3</v>
      </c>
    </row>
    <row r="31" s="3" customFormat="1" ht="22.5" customHeight="1" spans="1:13">
      <c r="A31" s="13" t="s">
        <v>38</v>
      </c>
      <c r="B31" s="14">
        <v>0</v>
      </c>
      <c r="C31" s="15">
        <v>0</v>
      </c>
      <c r="D31" s="14">
        <v>3.66</v>
      </c>
      <c r="E31" s="15">
        <v>1</v>
      </c>
      <c r="F31" s="14">
        <f>2.86+2.44</f>
        <v>5.3</v>
      </c>
      <c r="G31" s="15">
        <v>2</v>
      </c>
      <c r="H31" s="14">
        <v>0</v>
      </c>
      <c r="I31" s="15">
        <v>0</v>
      </c>
      <c r="J31" s="14">
        <v>4.96</v>
      </c>
      <c r="K31" s="15">
        <v>1</v>
      </c>
      <c r="L31" s="30">
        <f t="shared" si="0"/>
        <v>13.92</v>
      </c>
      <c r="M31" s="15">
        <f t="shared" si="1"/>
        <v>4</v>
      </c>
    </row>
    <row r="32" s="3" customFormat="1" ht="22.5" customHeight="1" spans="1:13">
      <c r="A32" s="13" t="s">
        <v>39</v>
      </c>
      <c r="B32" s="14">
        <v>0</v>
      </c>
      <c r="C32" s="15">
        <v>0</v>
      </c>
      <c r="D32" s="14">
        <v>0</v>
      </c>
      <c r="E32" s="15">
        <v>0</v>
      </c>
      <c r="F32" s="14">
        <v>2.92</v>
      </c>
      <c r="G32" s="15">
        <v>1</v>
      </c>
      <c r="H32" s="14">
        <v>0</v>
      </c>
      <c r="I32" s="15">
        <v>0</v>
      </c>
      <c r="J32" s="14">
        <v>4.16</v>
      </c>
      <c r="K32" s="15">
        <v>1</v>
      </c>
      <c r="L32" s="30">
        <f t="shared" si="0"/>
        <v>7.08</v>
      </c>
      <c r="M32" s="15">
        <f t="shared" si="1"/>
        <v>2</v>
      </c>
    </row>
    <row r="33" s="3" customFormat="1" ht="22.5" customHeight="1" spans="1:13">
      <c r="A33" s="13" t="s">
        <v>40</v>
      </c>
      <c r="B33" s="14">
        <v>0</v>
      </c>
      <c r="C33" s="15">
        <v>0</v>
      </c>
      <c r="D33" s="14">
        <v>0</v>
      </c>
      <c r="E33" s="15">
        <v>0</v>
      </c>
      <c r="F33" s="14">
        <v>3.54</v>
      </c>
      <c r="G33" s="15">
        <v>1</v>
      </c>
      <c r="H33" s="14">
        <v>0</v>
      </c>
      <c r="I33" s="15">
        <v>0</v>
      </c>
      <c r="J33" s="14">
        <v>0</v>
      </c>
      <c r="K33" s="15">
        <v>0</v>
      </c>
      <c r="L33" s="30">
        <f t="shared" si="0"/>
        <v>3.54</v>
      </c>
      <c r="M33" s="15">
        <f t="shared" si="1"/>
        <v>1</v>
      </c>
    </row>
    <row r="34" s="3" customFormat="1" ht="22.5" customHeight="1" spans="1:13">
      <c r="A34" s="13" t="s">
        <v>41</v>
      </c>
      <c r="B34" s="14">
        <v>0</v>
      </c>
      <c r="C34" s="15">
        <v>0</v>
      </c>
      <c r="D34" s="14">
        <v>0</v>
      </c>
      <c r="E34" s="15">
        <v>0</v>
      </c>
      <c r="F34" s="14">
        <f>2.58+3.82</f>
        <v>6.4</v>
      </c>
      <c r="G34" s="15">
        <v>2</v>
      </c>
      <c r="H34" s="14">
        <v>0</v>
      </c>
      <c r="I34" s="15">
        <v>0</v>
      </c>
      <c r="J34" s="14">
        <v>4.9</v>
      </c>
      <c r="K34" s="15">
        <v>1</v>
      </c>
      <c r="L34" s="30">
        <f t="shared" si="0"/>
        <v>11.3</v>
      </c>
      <c r="M34" s="15">
        <f t="shared" si="1"/>
        <v>3</v>
      </c>
    </row>
    <row r="35" s="3" customFormat="1" ht="23.25" customHeight="1" spans="1:13">
      <c r="A35" s="13" t="s">
        <v>42</v>
      </c>
      <c r="B35" s="14">
        <v>0</v>
      </c>
      <c r="C35" s="15">
        <v>0</v>
      </c>
      <c r="D35" s="14">
        <v>6.66</v>
      </c>
      <c r="E35" s="15">
        <v>1</v>
      </c>
      <c r="F35" s="14">
        <f>2.98+3.22</f>
        <v>6.2</v>
      </c>
      <c r="G35" s="15">
        <v>2</v>
      </c>
      <c r="H35" s="14">
        <v>0</v>
      </c>
      <c r="I35" s="15">
        <v>0</v>
      </c>
      <c r="J35" s="14">
        <v>3.84</v>
      </c>
      <c r="K35" s="15">
        <v>1</v>
      </c>
      <c r="L35" s="30">
        <f t="shared" si="0"/>
        <v>16.7</v>
      </c>
      <c r="M35" s="15">
        <f t="shared" si="1"/>
        <v>4</v>
      </c>
    </row>
    <row r="36" s="3" customFormat="1" ht="25.5" customHeight="1" spans="1:17">
      <c r="A36" s="16" t="s">
        <v>9</v>
      </c>
      <c r="B36" s="17">
        <f t="shared" ref="B36:M36" si="2">SUM(B5:B35)</f>
        <v>0</v>
      </c>
      <c r="C36" s="17">
        <f t="shared" si="2"/>
        <v>0</v>
      </c>
      <c r="D36" s="17">
        <f t="shared" si="2"/>
        <v>164.86</v>
      </c>
      <c r="E36" s="15">
        <f t="shared" si="2"/>
        <v>28</v>
      </c>
      <c r="F36" s="17">
        <f t="shared" si="2"/>
        <v>94.48</v>
      </c>
      <c r="G36" s="15">
        <f t="shared" si="2"/>
        <v>30</v>
      </c>
      <c r="H36" s="17">
        <f t="shared" si="2"/>
        <v>0</v>
      </c>
      <c r="I36" s="17">
        <f t="shared" si="2"/>
        <v>0</v>
      </c>
      <c r="J36" s="17">
        <f t="shared" si="2"/>
        <v>105.94</v>
      </c>
      <c r="K36" s="15">
        <f t="shared" si="2"/>
        <v>24</v>
      </c>
      <c r="L36" s="17">
        <f t="shared" si="2"/>
        <v>365.28</v>
      </c>
      <c r="M36" s="15">
        <f t="shared" si="2"/>
        <v>82</v>
      </c>
      <c r="O36" s="31"/>
      <c r="P36" s="31"/>
      <c r="Q36" s="31"/>
    </row>
    <row r="37" s="3" customFormat="1" ht="12.75" hidden="1" customHeight="1" spans="1:17">
      <c r="A37" s="18"/>
      <c r="B37" s="19"/>
      <c r="C37" s="20"/>
      <c r="D37" s="21"/>
      <c r="E37" s="22"/>
      <c r="F37" s="21"/>
      <c r="G37" s="22"/>
      <c r="H37" s="21"/>
      <c r="I37" s="22"/>
      <c r="J37" s="21"/>
      <c r="K37" s="22"/>
      <c r="L37" s="32"/>
      <c r="M37" s="33"/>
      <c r="O37" s="31"/>
      <c r="P37" s="31"/>
      <c r="Q37" s="31"/>
    </row>
    <row r="38" s="4" customFormat="1" ht="18.75" customHeight="1" spans="1:15">
      <c r="A38" s="23" t="s">
        <v>75</v>
      </c>
      <c r="B38" s="23"/>
      <c r="C38" s="23"/>
      <c r="D38" s="24"/>
      <c r="E38" s="24"/>
      <c r="F38" s="24"/>
      <c r="G38" s="24"/>
      <c r="H38" s="24"/>
      <c r="I38" s="24"/>
      <c r="K38" s="24"/>
      <c r="L38" s="34"/>
      <c r="M38" s="35"/>
      <c r="O38" s="36"/>
    </row>
    <row r="39" spans="1: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37"/>
      <c r="M39" s="37"/>
      <c r="O39" s="37"/>
    </row>
    <row r="40" spans="1:1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37"/>
      <c r="M40" s="37"/>
    </row>
    <row r="41" spans="1:1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38"/>
      <c r="M41" s="38"/>
    </row>
    <row r="42" spans="1:1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37"/>
      <c r="M42" s="37"/>
    </row>
  </sheetData>
  <mergeCells count="10">
    <mergeCell ref="A1:M1"/>
    <mergeCell ref="L2:M2"/>
    <mergeCell ref="B3:C3"/>
    <mergeCell ref="D3:E3"/>
    <mergeCell ref="F3:G3"/>
    <mergeCell ref="H3:I3"/>
    <mergeCell ref="J3:K3"/>
    <mergeCell ref="L3:M3"/>
    <mergeCell ref="A39:D39"/>
    <mergeCell ref="A3:A4"/>
  </mergeCells>
  <pageMargins left="0.24" right="0.22" top="0.23" bottom="0.23" header="0.16" footer="0.2"/>
  <pageSetup paperSize="9" scale="90" orientation="portrait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餐饮 排水</vt:lpstr>
      <vt:lpstr>餐饮 西岗区</vt:lpstr>
      <vt:lpstr>餐饮 甘井子</vt:lpstr>
      <vt:lpstr>餐饮沙河口</vt:lpstr>
      <vt:lpstr>厨余沙河口</vt:lpstr>
      <vt:lpstr>餐厨中山区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男妹最可爱了</cp:lastModifiedBy>
  <dcterms:created xsi:type="dcterms:W3CDTF">2024-03-06T05:38:53Z</dcterms:created>
  <dcterms:modified xsi:type="dcterms:W3CDTF">2024-03-06T05:40:07Z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8147EF5936A4490E8B0C174BC55EF8A8_11</vt:lpwstr>
  </property>
  <property fmtid="{D5CDD505-2E9C-101B-9397-08002B2CF9AE}" pid="3" name="KSOProductBuildVer">
    <vt:lpwstr>2052-12.1.0.16388</vt:lpwstr>
  </property>
</Properties>
</file>